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d.docs.live.net/ad3fa376ab1385cc/SKRIPSI/file skripsi/"/>
    </mc:Choice>
  </mc:AlternateContent>
  <xr:revisionPtr revIDLastSave="28" documentId="8_{631FC286-6B53-418D-951D-0E9B2F212A8D}" xr6:coauthVersionLast="47" xr6:coauthVersionMax="47" xr10:uidLastSave="{49D88913-BBE8-4910-ACAC-072417382137}"/>
  <bookViews>
    <workbookView xWindow="-96" yWindow="0" windowWidth="11712" windowHeight="12336" firstSheet="9" activeTab="10" xr2:uid="{00000000-000D-0000-FFFF-FFFF00000000}"/>
  </bookViews>
  <sheets>
    <sheet name="CSR (X)" sheetId="1" r:id="rId1"/>
    <sheet name="Y1" sheetId="8" r:id="rId2"/>
    <sheet name="Y2" sheetId="9" r:id="rId3"/>
    <sheet name="Ukuran perusahaan X2" sheetId="4" r:id="rId4"/>
    <sheet name="ROA X3" sheetId="5" r:id="rId5"/>
    <sheet name="Leverage X4" sheetId="6" r:id="rId6"/>
    <sheet name="Arus Kas X5" sheetId="7" r:id="rId7"/>
    <sheet name="RnD (Inter 1) Z1" sheetId="2" r:id="rId8"/>
    <sheet name="ICDI (Inter 2) Z2" sheetId="3" r:id="rId9"/>
    <sheet name="Sheet1" sheetId="11" r:id="rId10"/>
    <sheet name="REKAP" sheetId="10" r:id="rId11"/>
    <sheet name="GTI" sheetId="12" r:id="rId12"/>
    <sheet name="Sheet2" sheetId="13" r:id="rId13"/>
    <sheet name="Sheet4" sheetId="15" r:id="rId14"/>
    <sheet name="Sheet3" sheetId="14" r:id="rId15"/>
  </sheets>
  <calcPr calcId="191029"/>
</workbook>
</file>

<file path=xl/calcChain.xml><?xml version="1.0" encoding="utf-8"?>
<calcChain xmlns="http://schemas.openxmlformats.org/spreadsheetml/2006/main">
  <c r="P61" i="10" l="1"/>
  <c r="N61" i="10"/>
  <c r="P58" i="10"/>
  <c r="N58" i="10"/>
  <c r="P45" i="10"/>
  <c r="N45" i="10"/>
  <c r="P42" i="10"/>
  <c r="N42" i="10"/>
  <c r="P29" i="10"/>
  <c r="N29" i="10"/>
  <c r="O26" i="10"/>
  <c r="N26" i="10"/>
  <c r="N11" i="10"/>
  <c r="P13" i="10"/>
  <c r="O13" i="10"/>
  <c r="N13" i="10"/>
  <c r="L5" i="10"/>
  <c r="T8" i="13"/>
  <c r="T9" i="13" s="1"/>
  <c r="T10" i="13" s="1"/>
  <c r="T11" i="13" s="1"/>
  <c r="T12" i="13" s="1"/>
  <c r="T13" i="13" s="1"/>
  <c r="T14" i="13" s="1"/>
  <c r="T15" i="13" s="1"/>
  <c r="T16" i="13" s="1"/>
  <c r="T17" i="13" s="1"/>
  <c r="T18" i="13" s="1"/>
  <c r="T19" i="13" s="1"/>
  <c r="V9" i="12"/>
  <c r="U9" i="12"/>
  <c r="V15" i="12"/>
  <c r="U15" i="12"/>
  <c r="V21" i="12"/>
  <c r="U21" i="12"/>
  <c r="V27" i="12"/>
  <c r="U27" i="12"/>
  <c r="V33" i="12"/>
  <c r="U33" i="12"/>
  <c r="V39" i="12"/>
  <c r="U39" i="12"/>
  <c r="V45" i="12"/>
  <c r="U45" i="12"/>
  <c r="V51" i="12"/>
  <c r="U51" i="12"/>
  <c r="V57" i="12"/>
  <c r="U57" i="12"/>
  <c r="V63" i="12"/>
  <c r="U63" i="12"/>
  <c r="V69" i="12"/>
  <c r="U69" i="12"/>
  <c r="V75" i="12"/>
  <c r="U75" i="12"/>
  <c r="V81" i="12"/>
  <c r="U81" i="12"/>
  <c r="V87" i="12"/>
  <c r="U87" i="12"/>
  <c r="V93" i="12"/>
  <c r="U93" i="12"/>
  <c r="V99" i="12"/>
  <c r="U99" i="12"/>
  <c r="V105" i="12"/>
  <c r="U105" i="12"/>
  <c r="V111" i="12"/>
  <c r="U111" i="12"/>
  <c r="V117" i="12"/>
  <c r="U117" i="12"/>
  <c r="V123" i="12"/>
  <c r="U123" i="12"/>
  <c r="V129" i="12"/>
  <c r="U129" i="12"/>
  <c r="V135" i="12"/>
  <c r="U135" i="12"/>
  <c r="V141" i="12"/>
  <c r="U141" i="12"/>
  <c r="V147" i="12"/>
  <c r="U147" i="12"/>
  <c r="V153" i="12"/>
  <c r="U153" i="12"/>
  <c r="V159" i="12"/>
  <c r="U159" i="12"/>
  <c r="F10" i="7"/>
  <c r="E10" i="7"/>
  <c r="D10" i="7"/>
  <c r="F16" i="7"/>
  <c r="E16" i="7"/>
  <c r="D16" i="7"/>
  <c r="F22" i="7"/>
  <c r="E22" i="7"/>
  <c r="D22" i="7"/>
  <c r="F28" i="7"/>
  <c r="E28" i="7"/>
  <c r="D28" i="7"/>
  <c r="F34" i="7"/>
  <c r="E34" i="7"/>
  <c r="D34" i="7"/>
  <c r="F40" i="7"/>
  <c r="E40" i="7"/>
  <c r="D40" i="7"/>
  <c r="F46" i="7"/>
  <c r="E46" i="7"/>
  <c r="D46" i="7"/>
  <c r="F52" i="7"/>
  <c r="E52" i="7"/>
  <c r="D52" i="7"/>
  <c r="F58" i="7"/>
  <c r="E58" i="7"/>
  <c r="D58" i="7"/>
  <c r="F64" i="7"/>
  <c r="E64" i="7"/>
  <c r="D64" i="7"/>
  <c r="F70" i="7"/>
  <c r="E70" i="7"/>
  <c r="D70" i="7"/>
  <c r="F76" i="7"/>
  <c r="E76" i="7"/>
  <c r="D76" i="7"/>
  <c r="F82" i="7"/>
  <c r="E82" i="7"/>
  <c r="D82" i="7"/>
  <c r="F88" i="7"/>
  <c r="E88" i="7"/>
  <c r="D88" i="7"/>
  <c r="F94" i="7"/>
  <c r="E94" i="7"/>
  <c r="D94" i="7"/>
  <c r="F100" i="7"/>
  <c r="E100" i="7"/>
  <c r="D100" i="7"/>
  <c r="F106" i="7"/>
  <c r="E106" i="7"/>
  <c r="D106" i="7"/>
  <c r="F112" i="7"/>
  <c r="E112" i="7"/>
  <c r="D112" i="7"/>
  <c r="F118" i="7"/>
  <c r="E118" i="7"/>
  <c r="D118" i="7"/>
  <c r="F124" i="7"/>
  <c r="E124" i="7"/>
  <c r="D124" i="7"/>
  <c r="F130" i="7"/>
  <c r="E130" i="7"/>
  <c r="D130" i="7"/>
  <c r="F136" i="7"/>
  <c r="E136" i="7"/>
  <c r="D136" i="7"/>
  <c r="F142" i="7"/>
  <c r="E142" i="7"/>
  <c r="D142" i="7"/>
  <c r="F148" i="7"/>
  <c r="E148" i="7"/>
  <c r="D148" i="7"/>
  <c r="F154" i="7"/>
  <c r="E154" i="7"/>
  <c r="D154" i="7"/>
  <c r="F160" i="7"/>
  <c r="E160" i="7"/>
  <c r="D160" i="7"/>
  <c r="F10" i="6"/>
  <c r="E10" i="6"/>
  <c r="D10" i="6"/>
  <c r="F16" i="6"/>
  <c r="E16" i="6"/>
  <c r="D16" i="6"/>
  <c r="F22" i="6"/>
  <c r="E22" i="6"/>
  <c r="D22" i="6"/>
  <c r="F28" i="6"/>
  <c r="E28" i="6"/>
  <c r="D28" i="6"/>
  <c r="F34" i="6"/>
  <c r="E34" i="6"/>
  <c r="D34" i="6"/>
  <c r="F40" i="6"/>
  <c r="E40" i="6"/>
  <c r="D40" i="6"/>
  <c r="F46" i="6"/>
  <c r="E46" i="6"/>
  <c r="D46" i="6"/>
  <c r="F52" i="6"/>
  <c r="E52" i="6"/>
  <c r="D52" i="6"/>
  <c r="F58" i="6"/>
  <c r="E58" i="6"/>
  <c r="D58" i="6"/>
  <c r="F64" i="6"/>
  <c r="E64" i="6"/>
  <c r="D64" i="6"/>
  <c r="F70" i="6"/>
  <c r="E70" i="6"/>
  <c r="D70" i="6"/>
  <c r="F76" i="6"/>
  <c r="E76" i="6"/>
  <c r="D76" i="6"/>
  <c r="F82" i="6"/>
  <c r="E82" i="6"/>
  <c r="D82" i="6"/>
  <c r="F88" i="6"/>
  <c r="E88" i="6"/>
  <c r="D88" i="6"/>
  <c r="F94" i="6"/>
  <c r="E94" i="6"/>
  <c r="D94" i="6"/>
  <c r="F100" i="6"/>
  <c r="E100" i="6"/>
  <c r="D100" i="6"/>
  <c r="F106" i="6"/>
  <c r="E106" i="6"/>
  <c r="D106" i="6"/>
  <c r="F112" i="6"/>
  <c r="E112" i="6"/>
  <c r="D112" i="6"/>
  <c r="F118" i="6"/>
  <c r="E118" i="6"/>
  <c r="D118" i="6"/>
  <c r="F124" i="6"/>
  <c r="E124" i="6"/>
  <c r="D124" i="6"/>
  <c r="F130" i="6"/>
  <c r="E130" i="6"/>
  <c r="D130" i="6"/>
  <c r="F136" i="6"/>
  <c r="E136" i="6"/>
  <c r="D136" i="6"/>
  <c r="F142" i="6"/>
  <c r="E142" i="6"/>
  <c r="D142" i="6"/>
  <c r="F148" i="6"/>
  <c r="E148" i="6"/>
  <c r="D148" i="6"/>
  <c r="F154" i="6"/>
  <c r="E154" i="6"/>
  <c r="D154" i="6"/>
  <c r="F160" i="6"/>
  <c r="E160" i="6"/>
  <c r="D160" i="6"/>
  <c r="D35" i="6"/>
  <c r="E35" i="6"/>
  <c r="H9" i="5"/>
  <c r="G9" i="5"/>
  <c r="D9" i="5"/>
  <c r="H15" i="5"/>
  <c r="G15" i="5"/>
  <c r="D15" i="5"/>
  <c r="H21" i="5"/>
  <c r="G21" i="5"/>
  <c r="D21" i="5"/>
  <c r="H27" i="5"/>
  <c r="G27" i="5"/>
  <c r="D27" i="5"/>
  <c r="H33" i="5"/>
  <c r="G33" i="5"/>
  <c r="D33" i="5"/>
  <c r="H39" i="5"/>
  <c r="G39" i="5"/>
  <c r="D39" i="5"/>
  <c r="H45" i="5"/>
  <c r="G45" i="5"/>
  <c r="D45" i="5"/>
  <c r="H51" i="5"/>
  <c r="G51" i="5"/>
  <c r="D51" i="5"/>
  <c r="H57" i="5"/>
  <c r="G57" i="5"/>
  <c r="D57" i="5"/>
  <c r="H63" i="5"/>
  <c r="G63" i="5"/>
  <c r="D63" i="5"/>
  <c r="H69" i="5"/>
  <c r="G69" i="5"/>
  <c r="D69" i="5"/>
  <c r="H75" i="5"/>
  <c r="G75" i="5"/>
  <c r="D75" i="5"/>
  <c r="H81" i="5"/>
  <c r="G81" i="5"/>
  <c r="D81" i="5"/>
  <c r="H87" i="5"/>
  <c r="G87" i="5"/>
  <c r="D87" i="5"/>
  <c r="H93" i="5"/>
  <c r="G93" i="5"/>
  <c r="D93" i="5"/>
  <c r="H99" i="5"/>
  <c r="G99" i="5"/>
  <c r="D99" i="5"/>
  <c r="H105" i="5"/>
  <c r="G105" i="5"/>
  <c r="D105" i="5"/>
  <c r="H111" i="5"/>
  <c r="G111" i="5"/>
  <c r="D111" i="5"/>
  <c r="H117" i="5"/>
  <c r="G117" i="5"/>
  <c r="D117" i="5"/>
  <c r="H123" i="5"/>
  <c r="G123" i="5"/>
  <c r="D123" i="5"/>
  <c r="H129" i="5"/>
  <c r="G129" i="5"/>
  <c r="D129" i="5"/>
  <c r="H135" i="5"/>
  <c r="G135" i="5"/>
  <c r="D135" i="5"/>
  <c r="H141" i="5"/>
  <c r="G141" i="5"/>
  <c r="D141" i="5"/>
  <c r="H147" i="5"/>
  <c r="G147" i="5"/>
  <c r="D147" i="5"/>
  <c r="H153" i="5"/>
  <c r="G153" i="5"/>
  <c r="D153" i="5"/>
  <c r="H159" i="5"/>
  <c r="G159" i="5"/>
  <c r="D159" i="5"/>
  <c r="G158" i="5"/>
  <c r="G157" i="5"/>
  <c r="G156" i="5"/>
  <c r="G155" i="5"/>
  <c r="H155" i="5" s="1"/>
  <c r="G154" i="5"/>
  <c r="G152" i="5"/>
  <c r="G151" i="5"/>
  <c r="G150" i="5"/>
  <c r="H150" i="5" s="1"/>
  <c r="G149" i="5"/>
  <c r="H149" i="5" s="1"/>
  <c r="G148" i="5"/>
  <c r="G146" i="5"/>
  <c r="G145" i="5"/>
  <c r="G144" i="5"/>
  <c r="G143" i="5"/>
  <c r="H143" i="5" s="1"/>
  <c r="G142" i="5"/>
  <c r="G140" i="5"/>
  <c r="G139" i="5"/>
  <c r="G138" i="5"/>
  <c r="H138" i="5" s="1"/>
  <c r="G137" i="5"/>
  <c r="H137" i="5" s="1"/>
  <c r="G136" i="5"/>
  <c r="G134" i="5"/>
  <c r="G133" i="5"/>
  <c r="G132" i="5"/>
  <c r="H132" i="5" s="1"/>
  <c r="G131" i="5"/>
  <c r="G130" i="5"/>
  <c r="G128" i="5"/>
  <c r="G127" i="5"/>
  <c r="G126" i="5"/>
  <c r="G125" i="5"/>
  <c r="H125" i="5" s="1"/>
  <c r="G124" i="5"/>
  <c r="G122" i="5"/>
  <c r="G121" i="5"/>
  <c r="G120" i="5"/>
  <c r="H120" i="5" s="1"/>
  <c r="G119" i="5"/>
  <c r="H119" i="5" s="1"/>
  <c r="G118" i="5"/>
  <c r="G116" i="5"/>
  <c r="G115" i="5"/>
  <c r="G114" i="5"/>
  <c r="G113" i="5"/>
  <c r="H113" i="5" s="1"/>
  <c r="G112" i="5"/>
  <c r="G110" i="5"/>
  <c r="G109" i="5"/>
  <c r="G108" i="5"/>
  <c r="H108" i="5" s="1"/>
  <c r="G107" i="5"/>
  <c r="H107" i="5" s="1"/>
  <c r="G106" i="5"/>
  <c r="G104" i="5"/>
  <c r="G103" i="5"/>
  <c r="G102" i="5"/>
  <c r="H102" i="5" s="1"/>
  <c r="G101" i="5"/>
  <c r="G100" i="5"/>
  <c r="G98" i="5"/>
  <c r="G97" i="5"/>
  <c r="G96" i="5"/>
  <c r="G95" i="5"/>
  <c r="H95" i="5" s="1"/>
  <c r="G94" i="5"/>
  <c r="G92" i="5"/>
  <c r="G91" i="5"/>
  <c r="G90" i="5"/>
  <c r="H90" i="5" s="1"/>
  <c r="G89" i="5"/>
  <c r="H89" i="5" s="1"/>
  <c r="G88" i="5"/>
  <c r="G86" i="5"/>
  <c r="G85" i="5"/>
  <c r="G84" i="5"/>
  <c r="G83" i="5"/>
  <c r="H83" i="5" s="1"/>
  <c r="G82" i="5"/>
  <c r="G80" i="5"/>
  <c r="G79" i="5"/>
  <c r="G78" i="5"/>
  <c r="H78" i="5" s="1"/>
  <c r="G77" i="5"/>
  <c r="H77" i="5" s="1"/>
  <c r="G76" i="5"/>
  <c r="G74" i="5"/>
  <c r="G73" i="5"/>
  <c r="G72" i="5"/>
  <c r="H72" i="5" s="1"/>
  <c r="G71" i="5"/>
  <c r="G70" i="5"/>
  <c r="G68" i="5"/>
  <c r="G67" i="5"/>
  <c r="G66" i="5"/>
  <c r="G65" i="5"/>
  <c r="H65" i="5" s="1"/>
  <c r="G64" i="5"/>
  <c r="G62" i="5"/>
  <c r="G61" i="5"/>
  <c r="G60" i="5"/>
  <c r="H60" i="5" s="1"/>
  <c r="G59" i="5"/>
  <c r="H59" i="5" s="1"/>
  <c r="G58" i="5"/>
  <c r="G56" i="5"/>
  <c r="G55" i="5"/>
  <c r="G54" i="5"/>
  <c r="G53" i="5"/>
  <c r="H53" i="5" s="1"/>
  <c r="G52" i="5"/>
  <c r="G50" i="5"/>
  <c r="G49" i="5"/>
  <c r="G48" i="5"/>
  <c r="G47" i="5"/>
  <c r="G46" i="5"/>
  <c r="G44" i="5"/>
  <c r="G43" i="5"/>
  <c r="G42" i="5"/>
  <c r="G41" i="5"/>
  <c r="H41" i="5" s="1"/>
  <c r="G40" i="5"/>
  <c r="G38" i="5"/>
  <c r="G37" i="5"/>
  <c r="G36" i="5"/>
  <c r="H36" i="5" s="1"/>
  <c r="G35" i="5"/>
  <c r="H35" i="5" s="1"/>
  <c r="G34" i="5"/>
  <c r="G32" i="5"/>
  <c r="G31" i="5"/>
  <c r="G30" i="5"/>
  <c r="H30" i="5" s="1"/>
  <c r="G29" i="5"/>
  <c r="H29" i="5" s="1"/>
  <c r="G28" i="5"/>
  <c r="G26" i="5"/>
  <c r="G25" i="5"/>
  <c r="H25" i="5" s="1"/>
  <c r="G24" i="5"/>
  <c r="G23" i="5"/>
  <c r="G22" i="5"/>
  <c r="G20" i="5"/>
  <c r="G19" i="5"/>
  <c r="G18" i="5"/>
  <c r="H18" i="5" s="1"/>
  <c r="G17" i="5"/>
  <c r="H17" i="5" s="1"/>
  <c r="G16" i="5"/>
  <c r="H5" i="5"/>
  <c r="H6" i="5"/>
  <c r="H7" i="5"/>
  <c r="H8" i="5"/>
  <c r="H10" i="5"/>
  <c r="H11" i="5"/>
  <c r="H12" i="5"/>
  <c r="H13" i="5"/>
  <c r="H14" i="5"/>
  <c r="H16" i="5"/>
  <c r="H19" i="5"/>
  <c r="H20" i="5"/>
  <c r="H22" i="5"/>
  <c r="H23" i="5"/>
  <c r="H24" i="5"/>
  <c r="H26" i="5"/>
  <c r="H28" i="5"/>
  <c r="H31" i="5"/>
  <c r="H32" i="5"/>
  <c r="H34" i="5"/>
  <c r="H37" i="5"/>
  <c r="H38" i="5"/>
  <c r="H40" i="5"/>
  <c r="H42" i="5"/>
  <c r="H43" i="5"/>
  <c r="H44" i="5"/>
  <c r="H46" i="5"/>
  <c r="H47" i="5"/>
  <c r="H48" i="5"/>
  <c r="H49" i="5"/>
  <c r="H50" i="5"/>
  <c r="H52" i="5"/>
  <c r="H54" i="5"/>
  <c r="H55" i="5"/>
  <c r="H56" i="5"/>
  <c r="H58" i="5"/>
  <c r="H61" i="5"/>
  <c r="H62" i="5"/>
  <c r="H64" i="5"/>
  <c r="H66" i="5"/>
  <c r="H67" i="5"/>
  <c r="H68" i="5"/>
  <c r="H70" i="5"/>
  <c r="H71" i="5"/>
  <c r="H73" i="5"/>
  <c r="H74" i="5"/>
  <c r="H76" i="5"/>
  <c r="H79" i="5"/>
  <c r="H80" i="5"/>
  <c r="H82" i="5"/>
  <c r="H84" i="5"/>
  <c r="H85" i="5"/>
  <c r="H86" i="5"/>
  <c r="H88" i="5"/>
  <c r="H91" i="5"/>
  <c r="H92" i="5"/>
  <c r="H94" i="5"/>
  <c r="H96" i="5"/>
  <c r="H97" i="5"/>
  <c r="H98" i="5"/>
  <c r="H100" i="5"/>
  <c r="H101" i="5"/>
  <c r="H103" i="5"/>
  <c r="H104" i="5"/>
  <c r="H106" i="5"/>
  <c r="H109" i="5"/>
  <c r="H110" i="5"/>
  <c r="H112" i="5"/>
  <c r="H114" i="5"/>
  <c r="H115" i="5"/>
  <c r="H116" i="5"/>
  <c r="H118" i="5"/>
  <c r="H121" i="5"/>
  <c r="H122" i="5"/>
  <c r="H124" i="5"/>
  <c r="H126" i="5"/>
  <c r="H127" i="5"/>
  <c r="H128" i="5"/>
  <c r="H130" i="5"/>
  <c r="H131" i="5"/>
  <c r="H133" i="5"/>
  <c r="H134" i="5"/>
  <c r="H136" i="5"/>
  <c r="H139" i="5"/>
  <c r="H140" i="5"/>
  <c r="H142" i="5"/>
  <c r="H144" i="5"/>
  <c r="H145" i="5"/>
  <c r="H146" i="5"/>
  <c r="H148" i="5"/>
  <c r="H151" i="5"/>
  <c r="H152" i="5"/>
  <c r="H154" i="5"/>
  <c r="H156" i="5"/>
  <c r="H157" i="5"/>
  <c r="H158" i="5"/>
  <c r="H4" i="5"/>
  <c r="G14" i="5"/>
  <c r="G13" i="5"/>
  <c r="G12" i="5"/>
  <c r="G11" i="5"/>
  <c r="G10" i="5"/>
  <c r="G5" i="5"/>
  <c r="G6" i="5"/>
  <c r="G7" i="5"/>
  <c r="G8" i="5"/>
  <c r="G4" i="5"/>
  <c r="F159" i="11"/>
  <c r="E159" i="11"/>
  <c r="F153" i="11"/>
  <c r="E153" i="11"/>
  <c r="F147" i="11"/>
  <c r="E147" i="11"/>
  <c r="F141" i="11"/>
  <c r="E141" i="11"/>
  <c r="F135" i="11"/>
  <c r="E135" i="11"/>
  <c r="F129" i="11"/>
  <c r="E129" i="11"/>
  <c r="F123" i="11"/>
  <c r="E123" i="11"/>
  <c r="F117" i="11"/>
  <c r="E117" i="11"/>
  <c r="F111" i="11"/>
  <c r="E111" i="11"/>
  <c r="F105" i="11"/>
  <c r="E105" i="11"/>
  <c r="F99" i="11"/>
  <c r="E99" i="11"/>
  <c r="F93" i="11"/>
  <c r="E93" i="11"/>
  <c r="F87" i="11"/>
  <c r="E87" i="11"/>
  <c r="F81" i="11"/>
  <c r="E81" i="11"/>
  <c r="F75" i="11"/>
  <c r="E75" i="11"/>
  <c r="F69" i="11"/>
  <c r="E69" i="11"/>
  <c r="F63" i="11"/>
  <c r="E63" i="11"/>
  <c r="F57" i="11"/>
  <c r="E57" i="11"/>
  <c r="F51" i="11"/>
  <c r="E51" i="11"/>
  <c r="F45" i="11"/>
  <c r="E45" i="11"/>
  <c r="F39" i="11"/>
  <c r="E39" i="11"/>
  <c r="F33" i="11"/>
  <c r="E33" i="11"/>
  <c r="F27" i="11"/>
  <c r="E27" i="11"/>
  <c r="F21" i="11"/>
  <c r="E21" i="11"/>
  <c r="F15" i="11"/>
  <c r="E15" i="11"/>
  <c r="F9" i="11"/>
  <c r="E9" i="11"/>
  <c r="V15" i="3"/>
  <c r="V20" i="3"/>
  <c r="D9" i="2"/>
  <c r="D15" i="2"/>
  <c r="D21" i="2"/>
  <c r="D27" i="2"/>
  <c r="D33" i="2"/>
  <c r="D39" i="2"/>
  <c r="D45" i="2"/>
  <c r="D51" i="2"/>
  <c r="D57" i="2"/>
  <c r="D63" i="2"/>
  <c r="D69" i="2"/>
  <c r="D75" i="2"/>
  <c r="D81" i="2"/>
  <c r="D87" i="2"/>
  <c r="D93" i="2"/>
  <c r="D99" i="2"/>
  <c r="D105" i="2"/>
  <c r="D111" i="2"/>
  <c r="D117" i="2"/>
  <c r="D123" i="2"/>
  <c r="D129" i="2"/>
  <c r="D135" i="2"/>
  <c r="D141" i="2"/>
  <c r="D147" i="2"/>
  <c r="D153" i="2"/>
  <c r="E160" i="1"/>
  <c r="D160" i="1"/>
  <c r="E154" i="1"/>
  <c r="D154" i="1"/>
  <c r="E148" i="1"/>
  <c r="D148" i="1"/>
  <c r="E142" i="1"/>
  <c r="D142" i="1"/>
  <c r="E136" i="1"/>
  <c r="D136" i="1"/>
  <c r="E130" i="1"/>
  <c r="D130" i="1"/>
  <c r="E124" i="1"/>
  <c r="D124" i="1"/>
  <c r="E118" i="1"/>
  <c r="D118" i="1"/>
  <c r="E112" i="1"/>
  <c r="D112" i="1"/>
  <c r="E106" i="1"/>
  <c r="D106" i="1"/>
  <c r="E100" i="1"/>
  <c r="D100" i="1"/>
  <c r="E94" i="1"/>
  <c r="D94" i="1"/>
  <c r="E88" i="1"/>
  <c r="D88" i="1"/>
  <c r="E82" i="1"/>
  <c r="D82" i="1"/>
  <c r="E76" i="1"/>
  <c r="D76" i="1"/>
  <c r="E70" i="1"/>
  <c r="D70" i="1"/>
  <c r="E64" i="1"/>
  <c r="D64" i="1"/>
  <c r="E58" i="1"/>
  <c r="D58" i="1"/>
  <c r="E52" i="1"/>
  <c r="D52" i="1"/>
  <c r="E46" i="1"/>
  <c r="D46" i="1"/>
  <c r="E40" i="1"/>
  <c r="D40" i="1"/>
  <c r="E34" i="1"/>
  <c r="D34" i="1"/>
  <c r="E28" i="1"/>
  <c r="D28" i="1"/>
  <c r="E22" i="1"/>
  <c r="D22" i="1"/>
  <c r="E16" i="1"/>
  <c r="D16" i="1"/>
  <c r="E10" i="1"/>
  <c r="D10" i="1"/>
  <c r="D159" i="2"/>
  <c r="D118" i="2"/>
  <c r="F159" i="7"/>
  <c r="F158" i="7"/>
  <c r="F157" i="7"/>
  <c r="F156" i="7"/>
  <c r="F155" i="7"/>
  <c r="F153" i="7"/>
  <c r="F152" i="7"/>
  <c r="F151" i="7"/>
  <c r="F150" i="7"/>
  <c r="F149" i="7"/>
  <c r="F147" i="7"/>
  <c r="F146" i="7"/>
  <c r="F145" i="7"/>
  <c r="F144" i="7"/>
  <c r="F143" i="7"/>
  <c r="F141" i="7"/>
  <c r="F140" i="7"/>
  <c r="F139" i="7"/>
  <c r="F138" i="7"/>
  <c r="F137" i="7"/>
  <c r="F135" i="7"/>
  <c r="F134" i="7"/>
  <c r="F133" i="7"/>
  <c r="F132" i="7"/>
  <c r="F131" i="7"/>
  <c r="F129" i="7"/>
  <c r="F128" i="7"/>
  <c r="F127" i="7"/>
  <c r="F126" i="7"/>
  <c r="F125" i="7"/>
  <c r="E123" i="7"/>
  <c r="D123" i="7"/>
  <c r="E122" i="7"/>
  <c r="D122" i="7"/>
  <c r="E121" i="7"/>
  <c r="D121" i="7"/>
  <c r="E120" i="7"/>
  <c r="D120" i="7"/>
  <c r="E119" i="7"/>
  <c r="D119" i="7"/>
  <c r="F117" i="7"/>
  <c r="F116" i="7"/>
  <c r="F115" i="7"/>
  <c r="F114" i="7"/>
  <c r="F113" i="7"/>
  <c r="F111" i="7"/>
  <c r="F110" i="7"/>
  <c r="F109" i="7"/>
  <c r="F108" i="7"/>
  <c r="F107" i="7"/>
  <c r="F105" i="7"/>
  <c r="F104" i="7"/>
  <c r="F103" i="7"/>
  <c r="F102" i="7"/>
  <c r="F101" i="7"/>
  <c r="F99" i="7"/>
  <c r="F98" i="7"/>
  <c r="F97" i="7"/>
  <c r="F96" i="7"/>
  <c r="F95" i="7"/>
  <c r="F93" i="7"/>
  <c r="F92" i="7"/>
  <c r="F91" i="7"/>
  <c r="F90" i="7"/>
  <c r="F89" i="7"/>
  <c r="F87" i="7"/>
  <c r="F86" i="7"/>
  <c r="F85" i="7"/>
  <c r="F84" i="7"/>
  <c r="F83" i="7"/>
  <c r="F81" i="7"/>
  <c r="F80" i="7"/>
  <c r="F79" i="7"/>
  <c r="F78" i="7"/>
  <c r="F77" i="7"/>
  <c r="F75" i="7"/>
  <c r="F74" i="7"/>
  <c r="F73" i="7"/>
  <c r="F72" i="7"/>
  <c r="F71" i="7"/>
  <c r="E69" i="7"/>
  <c r="F69" i="7" s="1"/>
  <c r="E68" i="7"/>
  <c r="F68" i="7" s="1"/>
  <c r="E67" i="7"/>
  <c r="F67" i="7" s="1"/>
  <c r="E66" i="7"/>
  <c r="F66" i="7" s="1"/>
  <c r="E65" i="7"/>
  <c r="F65" i="7" s="1"/>
  <c r="E63" i="7"/>
  <c r="D63" i="7"/>
  <c r="E62" i="7"/>
  <c r="D62" i="7"/>
  <c r="E61" i="7"/>
  <c r="D61" i="7"/>
  <c r="E60" i="7"/>
  <c r="D60" i="7"/>
  <c r="E59" i="7"/>
  <c r="D59" i="7"/>
  <c r="E57" i="7"/>
  <c r="D57" i="7"/>
  <c r="E56" i="7"/>
  <c r="D56" i="7"/>
  <c r="E55" i="7"/>
  <c r="D55" i="7"/>
  <c r="F54" i="7"/>
  <c r="E54" i="7"/>
  <c r="D54" i="7"/>
  <c r="E53" i="7"/>
  <c r="D53" i="7"/>
  <c r="E51" i="7"/>
  <c r="D51" i="7"/>
  <c r="E50" i="7"/>
  <c r="D50" i="7"/>
  <c r="E49" i="7"/>
  <c r="D49" i="7"/>
  <c r="E48" i="7"/>
  <c r="D48" i="7"/>
  <c r="E47" i="7"/>
  <c r="D47" i="7"/>
  <c r="E45" i="7"/>
  <c r="D45" i="7"/>
  <c r="E44" i="7"/>
  <c r="D44" i="7"/>
  <c r="E43" i="7"/>
  <c r="D43" i="7"/>
  <c r="E42" i="7"/>
  <c r="D42" i="7"/>
  <c r="E41" i="7"/>
  <c r="D41" i="7"/>
  <c r="E39" i="7"/>
  <c r="D39" i="7"/>
  <c r="E38" i="7"/>
  <c r="D38" i="7"/>
  <c r="E37" i="7"/>
  <c r="D37" i="7"/>
  <c r="E36" i="7"/>
  <c r="D36" i="7"/>
  <c r="E35" i="7"/>
  <c r="D35" i="7"/>
  <c r="E33" i="7"/>
  <c r="D33" i="7"/>
  <c r="E32" i="7"/>
  <c r="D32" i="7"/>
  <c r="E31" i="7"/>
  <c r="D31" i="7"/>
  <c r="E30" i="7"/>
  <c r="D30" i="7"/>
  <c r="E29" i="7"/>
  <c r="D29" i="7"/>
  <c r="F27" i="7"/>
  <c r="F26" i="7"/>
  <c r="F25" i="7"/>
  <c r="F24" i="7"/>
  <c r="F23" i="7"/>
  <c r="E21" i="7"/>
  <c r="D21" i="7"/>
  <c r="E20" i="7"/>
  <c r="D20" i="7"/>
  <c r="E19" i="7"/>
  <c r="D19" i="7"/>
  <c r="E18" i="7"/>
  <c r="D18" i="7"/>
  <c r="E17" i="7"/>
  <c r="D17" i="7"/>
  <c r="F15" i="7"/>
  <c r="F14" i="7"/>
  <c r="F13" i="7"/>
  <c r="F12" i="7"/>
  <c r="F11" i="7"/>
  <c r="E9" i="7"/>
  <c r="D9" i="7"/>
  <c r="E8" i="7"/>
  <c r="D8" i="7"/>
  <c r="E7" i="7"/>
  <c r="D7" i="7"/>
  <c r="E6" i="7"/>
  <c r="D6" i="7"/>
  <c r="E5" i="7"/>
  <c r="D5" i="7"/>
  <c r="E159" i="6"/>
  <c r="F159" i="6" s="1"/>
  <c r="E158" i="6"/>
  <c r="F158" i="6" s="1"/>
  <c r="E157" i="6"/>
  <c r="F157" i="6" s="1"/>
  <c r="E156" i="6"/>
  <c r="F156" i="6" s="1"/>
  <c r="E155" i="6"/>
  <c r="F155" i="6" s="1"/>
  <c r="E153" i="6"/>
  <c r="F153" i="6" s="1"/>
  <c r="E152" i="6"/>
  <c r="F152" i="6" s="1"/>
  <c r="E151" i="6"/>
  <c r="F151" i="6" s="1"/>
  <c r="E150" i="6"/>
  <c r="F150" i="6" s="1"/>
  <c r="E149" i="6"/>
  <c r="F149" i="6" s="1"/>
  <c r="E147" i="6"/>
  <c r="F147" i="6" s="1"/>
  <c r="E146" i="6"/>
  <c r="F146" i="6" s="1"/>
  <c r="E145" i="6"/>
  <c r="F145" i="6" s="1"/>
  <c r="E144" i="6"/>
  <c r="F144" i="6" s="1"/>
  <c r="E143" i="6"/>
  <c r="F143" i="6" s="1"/>
  <c r="E141" i="6"/>
  <c r="F141" i="6" s="1"/>
  <c r="E140" i="6"/>
  <c r="F140" i="6" s="1"/>
  <c r="E139" i="6"/>
  <c r="F139" i="6" s="1"/>
  <c r="E138" i="6"/>
  <c r="F138" i="6" s="1"/>
  <c r="E137" i="6"/>
  <c r="F137" i="6" s="1"/>
  <c r="E135" i="6"/>
  <c r="F135" i="6" s="1"/>
  <c r="E134" i="6"/>
  <c r="F134" i="6" s="1"/>
  <c r="E133" i="6"/>
  <c r="F133" i="6" s="1"/>
  <c r="E132" i="6"/>
  <c r="F132" i="6" s="1"/>
  <c r="E131" i="6"/>
  <c r="F131" i="6" s="1"/>
  <c r="E129" i="6"/>
  <c r="F129" i="6" s="1"/>
  <c r="E128" i="6"/>
  <c r="F128" i="6" s="1"/>
  <c r="E127" i="6"/>
  <c r="F127" i="6" s="1"/>
  <c r="E126" i="6"/>
  <c r="F126" i="6" s="1"/>
  <c r="E125" i="6"/>
  <c r="F125" i="6" s="1"/>
  <c r="D123" i="6"/>
  <c r="D122" i="6"/>
  <c r="D121" i="6"/>
  <c r="D120" i="6"/>
  <c r="D119" i="6"/>
  <c r="E117" i="6"/>
  <c r="F117" i="6" s="1"/>
  <c r="E116" i="6"/>
  <c r="F116" i="6" s="1"/>
  <c r="E115" i="6"/>
  <c r="F115" i="6" s="1"/>
  <c r="E114" i="6"/>
  <c r="F114" i="6" s="1"/>
  <c r="E113" i="6"/>
  <c r="F113" i="6" s="1"/>
  <c r="E111" i="6"/>
  <c r="F111" i="6" s="1"/>
  <c r="E110" i="6"/>
  <c r="F110" i="6" s="1"/>
  <c r="E109" i="6"/>
  <c r="F109" i="6" s="1"/>
  <c r="E108" i="6"/>
  <c r="F108" i="6" s="1"/>
  <c r="E107" i="6"/>
  <c r="F107" i="6" s="1"/>
  <c r="E105" i="6"/>
  <c r="F105" i="6" s="1"/>
  <c r="E104" i="6"/>
  <c r="F104" i="6" s="1"/>
  <c r="E103" i="6"/>
  <c r="F103" i="6" s="1"/>
  <c r="E102" i="6"/>
  <c r="F102" i="6" s="1"/>
  <c r="E101" i="6"/>
  <c r="F101" i="6" s="1"/>
  <c r="E99" i="6"/>
  <c r="F99" i="6" s="1"/>
  <c r="E98" i="6"/>
  <c r="F98" i="6" s="1"/>
  <c r="E97" i="6"/>
  <c r="F97" i="6" s="1"/>
  <c r="E96" i="6"/>
  <c r="F96" i="6" s="1"/>
  <c r="E95" i="6"/>
  <c r="F95" i="6" s="1"/>
  <c r="E93" i="6"/>
  <c r="F93" i="6" s="1"/>
  <c r="E92" i="6"/>
  <c r="F92" i="6" s="1"/>
  <c r="E91" i="6"/>
  <c r="F91" i="6" s="1"/>
  <c r="E90" i="6"/>
  <c r="F90" i="6" s="1"/>
  <c r="E89" i="6"/>
  <c r="F89" i="6" s="1"/>
  <c r="E87" i="6"/>
  <c r="F87" i="6" s="1"/>
  <c r="E86" i="6"/>
  <c r="F86" i="6" s="1"/>
  <c r="E85" i="6"/>
  <c r="F85" i="6" s="1"/>
  <c r="E84" i="6"/>
  <c r="F84" i="6" s="1"/>
  <c r="E83" i="6"/>
  <c r="F83" i="6" s="1"/>
  <c r="E81" i="6"/>
  <c r="F81" i="6" s="1"/>
  <c r="E80" i="6"/>
  <c r="F80" i="6" s="1"/>
  <c r="E79" i="6"/>
  <c r="F79" i="6" s="1"/>
  <c r="E78" i="6"/>
  <c r="F78" i="6" s="1"/>
  <c r="E77" i="6"/>
  <c r="F77" i="6" s="1"/>
  <c r="E75" i="6"/>
  <c r="F75" i="6" s="1"/>
  <c r="E74" i="6"/>
  <c r="F74" i="6" s="1"/>
  <c r="E73" i="6"/>
  <c r="F73" i="6" s="1"/>
  <c r="E72" i="6"/>
  <c r="F72" i="6" s="1"/>
  <c r="E71" i="6"/>
  <c r="F71" i="6" s="1"/>
  <c r="D69" i="6"/>
  <c r="D68" i="6"/>
  <c r="D67" i="6"/>
  <c r="D66" i="6"/>
  <c r="D65" i="6"/>
  <c r="D63" i="6"/>
  <c r="D62" i="6"/>
  <c r="D61" i="6"/>
  <c r="D60" i="6"/>
  <c r="D59" i="6"/>
  <c r="D57" i="6"/>
  <c r="D56" i="6"/>
  <c r="D55" i="6"/>
  <c r="D54" i="6"/>
  <c r="D53" i="6"/>
  <c r="D51" i="6"/>
  <c r="D50" i="6"/>
  <c r="D49" i="6"/>
  <c r="D48" i="6"/>
  <c r="D47" i="6"/>
  <c r="D45" i="6"/>
  <c r="D44" i="6"/>
  <c r="D43" i="6"/>
  <c r="D42" i="6"/>
  <c r="D41" i="6"/>
  <c r="D39" i="6"/>
  <c r="D38" i="6"/>
  <c r="D37" i="6"/>
  <c r="D36" i="6"/>
  <c r="D33" i="6"/>
  <c r="D32" i="6"/>
  <c r="D31" i="6"/>
  <c r="D30" i="6"/>
  <c r="D29" i="6"/>
  <c r="E27" i="6"/>
  <c r="F27" i="6" s="1"/>
  <c r="E26" i="6"/>
  <c r="F26" i="6" s="1"/>
  <c r="E25" i="6"/>
  <c r="F25" i="6" s="1"/>
  <c r="E24" i="6"/>
  <c r="F24" i="6" s="1"/>
  <c r="E23" i="6"/>
  <c r="F23" i="6" s="1"/>
  <c r="D21" i="6"/>
  <c r="D20" i="6"/>
  <c r="D19" i="6"/>
  <c r="D18" i="6"/>
  <c r="D17" i="6"/>
  <c r="E15" i="6"/>
  <c r="F15" i="6" s="1"/>
  <c r="E14" i="6"/>
  <c r="F14" i="6" s="1"/>
  <c r="E13" i="6"/>
  <c r="F13" i="6" s="1"/>
  <c r="E12" i="6"/>
  <c r="F12" i="6" s="1"/>
  <c r="E11" i="6"/>
  <c r="F11" i="6" s="1"/>
  <c r="D9" i="6"/>
  <c r="D8" i="6"/>
  <c r="D7" i="6"/>
  <c r="D6" i="6"/>
  <c r="D5" i="6"/>
  <c r="F122" i="5"/>
  <c r="E123" i="6" s="1"/>
  <c r="D122" i="5"/>
  <c r="F121" i="5"/>
  <c r="D122" i="4" s="1"/>
  <c r="E122" i="4" s="1"/>
  <c r="D121" i="5"/>
  <c r="F120" i="5"/>
  <c r="E121" i="6" s="1"/>
  <c r="D120" i="5"/>
  <c r="F119" i="5"/>
  <c r="D120" i="4" s="1"/>
  <c r="E120" i="4" s="1"/>
  <c r="D119" i="5"/>
  <c r="F118" i="5"/>
  <c r="E119" i="6" s="1"/>
  <c r="E118" i="5"/>
  <c r="D118" i="5"/>
  <c r="E104" i="5"/>
  <c r="E103" i="5"/>
  <c r="E102" i="5"/>
  <c r="E101" i="5"/>
  <c r="E92" i="5"/>
  <c r="E91" i="5"/>
  <c r="E90" i="5"/>
  <c r="E89" i="5"/>
  <c r="E86" i="5"/>
  <c r="E85" i="5"/>
  <c r="E84" i="5"/>
  <c r="E83" i="5"/>
  <c r="E80" i="5"/>
  <c r="E79" i="5"/>
  <c r="E78" i="5"/>
  <c r="E77" i="5"/>
  <c r="E74" i="5"/>
  <c r="E73" i="5"/>
  <c r="E72" i="5"/>
  <c r="E71" i="5"/>
  <c r="F68" i="5"/>
  <c r="E68" i="2" s="1"/>
  <c r="F68" i="2" s="1"/>
  <c r="F67" i="5"/>
  <c r="E68" i="6" s="1"/>
  <c r="F66" i="5"/>
  <c r="F65" i="5"/>
  <c r="E66" i="5" s="1"/>
  <c r="F64" i="5"/>
  <c r="E65" i="5" s="1"/>
  <c r="E64" i="5"/>
  <c r="D64" i="5"/>
  <c r="F62" i="5"/>
  <c r="E63" i="6" s="1"/>
  <c r="F63" i="6" s="1"/>
  <c r="D62" i="5"/>
  <c r="F61" i="5"/>
  <c r="D61" i="5"/>
  <c r="F60" i="5"/>
  <c r="E61" i="6" s="1"/>
  <c r="D60" i="5"/>
  <c r="F59" i="5"/>
  <c r="E60" i="6" s="1"/>
  <c r="D59" i="5"/>
  <c r="F58" i="5"/>
  <c r="E59" i="6" s="1"/>
  <c r="F59" i="6" s="1"/>
  <c r="E58" i="5"/>
  <c r="D58" i="5"/>
  <c r="F56" i="5"/>
  <c r="D56" i="5"/>
  <c r="F55" i="5"/>
  <c r="E56" i="6" s="1"/>
  <c r="D55" i="5"/>
  <c r="F54" i="5"/>
  <c r="E55" i="6" s="1"/>
  <c r="D54" i="5"/>
  <c r="F53" i="5"/>
  <c r="E54" i="6" s="1"/>
  <c r="F54" i="6" s="1"/>
  <c r="D53" i="5"/>
  <c r="F52" i="5"/>
  <c r="E52" i="5"/>
  <c r="D52" i="5"/>
  <c r="F50" i="5"/>
  <c r="E51" i="6" s="1"/>
  <c r="D50" i="5"/>
  <c r="F49" i="5"/>
  <c r="E50" i="5" s="1"/>
  <c r="D49" i="5"/>
  <c r="F48" i="5"/>
  <c r="E49" i="6" s="1"/>
  <c r="D48" i="5"/>
  <c r="F47" i="5"/>
  <c r="D47" i="5"/>
  <c r="F46" i="5"/>
  <c r="E47" i="6" s="1"/>
  <c r="E46" i="5"/>
  <c r="D46" i="5"/>
  <c r="F44" i="5"/>
  <c r="E45" i="6" s="1"/>
  <c r="E44" i="5"/>
  <c r="D44" i="5"/>
  <c r="F43" i="5"/>
  <c r="E44" i="6" s="1"/>
  <c r="F44" i="6" s="1"/>
  <c r="E43" i="5"/>
  <c r="D43" i="5"/>
  <c r="F42" i="5"/>
  <c r="E42" i="5"/>
  <c r="D42" i="5"/>
  <c r="F41" i="5"/>
  <c r="E42" i="6" s="1"/>
  <c r="E41" i="5"/>
  <c r="D41" i="5"/>
  <c r="F40" i="5"/>
  <c r="E41" i="6" s="1"/>
  <c r="E40" i="5"/>
  <c r="D40" i="5"/>
  <c r="F38" i="5"/>
  <c r="E39" i="6" s="1"/>
  <c r="F39" i="6" s="1"/>
  <c r="D38" i="5"/>
  <c r="F37" i="5"/>
  <c r="D37" i="5"/>
  <c r="F36" i="5"/>
  <c r="E37" i="6" s="1"/>
  <c r="D36" i="5"/>
  <c r="F35" i="5"/>
  <c r="E36" i="6" s="1"/>
  <c r="D35" i="5"/>
  <c r="F34" i="5"/>
  <c r="E34" i="5"/>
  <c r="D34" i="5"/>
  <c r="F32" i="5"/>
  <c r="D32" i="5"/>
  <c r="F31" i="5"/>
  <c r="E32" i="6" s="1"/>
  <c r="D31" i="5"/>
  <c r="F30" i="5"/>
  <c r="E31" i="6" s="1"/>
  <c r="D30" i="5"/>
  <c r="F29" i="5"/>
  <c r="E30" i="6" s="1"/>
  <c r="D29" i="5"/>
  <c r="F28" i="5"/>
  <c r="E28" i="5"/>
  <c r="D28" i="5"/>
  <c r="F20" i="5"/>
  <c r="E21" i="6" s="1"/>
  <c r="D20" i="5"/>
  <c r="F19" i="5"/>
  <c r="E20" i="5" s="1"/>
  <c r="D19" i="5"/>
  <c r="F18" i="5"/>
  <c r="E19" i="5" s="1"/>
  <c r="D18" i="5"/>
  <c r="F17" i="5"/>
  <c r="E18" i="5" s="1"/>
  <c r="D17" i="5"/>
  <c r="F16" i="5"/>
  <c r="E17" i="6" s="1"/>
  <c r="E16" i="5"/>
  <c r="D16" i="5"/>
  <c r="E14" i="5"/>
  <c r="E13" i="5"/>
  <c r="E12" i="5"/>
  <c r="E11" i="5"/>
  <c r="F8" i="5"/>
  <c r="D9" i="4" s="1"/>
  <c r="E9" i="4" s="1"/>
  <c r="D8" i="5"/>
  <c r="F7" i="5"/>
  <c r="E8" i="6" s="1"/>
  <c r="D7" i="5"/>
  <c r="F6" i="5"/>
  <c r="D6" i="5"/>
  <c r="F5" i="5"/>
  <c r="E6" i="6" s="1"/>
  <c r="D5" i="5"/>
  <c r="F4" i="5"/>
  <c r="E5" i="5" s="1"/>
  <c r="E4" i="5"/>
  <c r="D4" i="5"/>
  <c r="D159" i="4"/>
  <c r="E159" i="4" s="1"/>
  <c r="D158" i="4"/>
  <c r="E158" i="4" s="1"/>
  <c r="D157" i="4"/>
  <c r="E157" i="4" s="1"/>
  <c r="D156" i="4"/>
  <c r="D155" i="4"/>
  <c r="E155" i="4" s="1"/>
  <c r="D153" i="4"/>
  <c r="E153" i="4" s="1"/>
  <c r="D152" i="4"/>
  <c r="E152" i="4" s="1"/>
  <c r="D151" i="4"/>
  <c r="E151" i="4" s="1"/>
  <c r="D150" i="4"/>
  <c r="E150" i="4" s="1"/>
  <c r="D149" i="4"/>
  <c r="E149" i="4" s="1"/>
  <c r="D147" i="4"/>
  <c r="E147" i="4" s="1"/>
  <c r="D146" i="4"/>
  <c r="D145" i="4"/>
  <c r="E145" i="4" s="1"/>
  <c r="D144" i="4"/>
  <c r="E144" i="4" s="1"/>
  <c r="D143" i="4"/>
  <c r="E143" i="4" s="1"/>
  <c r="D141" i="4"/>
  <c r="E141" i="4" s="1"/>
  <c r="D140" i="4"/>
  <c r="E140" i="4" s="1"/>
  <c r="D139" i="4"/>
  <c r="E139" i="4" s="1"/>
  <c r="D138" i="4"/>
  <c r="E138" i="4" s="1"/>
  <c r="D137" i="4"/>
  <c r="D135" i="4"/>
  <c r="E135" i="4" s="1"/>
  <c r="D134" i="4"/>
  <c r="E134" i="4" s="1"/>
  <c r="D133" i="4"/>
  <c r="E133" i="4" s="1"/>
  <c r="D132" i="4"/>
  <c r="D131" i="4"/>
  <c r="E131" i="4" s="1"/>
  <c r="D129" i="4"/>
  <c r="E129" i="4" s="1"/>
  <c r="D128" i="4"/>
  <c r="E128" i="4" s="1"/>
  <c r="D127" i="4"/>
  <c r="E127" i="4" s="1"/>
  <c r="D126" i="4"/>
  <c r="E126" i="4" s="1"/>
  <c r="D125" i="4"/>
  <c r="E125" i="4" s="1"/>
  <c r="D117" i="4"/>
  <c r="E117" i="4" s="1"/>
  <c r="D116" i="4"/>
  <c r="E116" i="4" s="1"/>
  <c r="D115" i="4"/>
  <c r="E115" i="4" s="1"/>
  <c r="D114" i="4"/>
  <c r="E114" i="4" s="1"/>
  <c r="D113" i="4"/>
  <c r="E113" i="4" s="1"/>
  <c r="D111" i="4"/>
  <c r="E111" i="4" s="1"/>
  <c r="D110" i="4"/>
  <c r="E110" i="4" s="1"/>
  <c r="D109" i="4"/>
  <c r="E109" i="4" s="1"/>
  <c r="D108" i="4"/>
  <c r="E108" i="4" s="1"/>
  <c r="D107" i="4"/>
  <c r="D105" i="4"/>
  <c r="E105" i="4" s="1"/>
  <c r="D104" i="4"/>
  <c r="E104" i="4" s="1"/>
  <c r="D103" i="4"/>
  <c r="E103" i="4" s="1"/>
  <c r="D102" i="4"/>
  <c r="E102" i="4" s="1"/>
  <c r="D101" i="4"/>
  <c r="E101" i="4" s="1"/>
  <c r="D99" i="4"/>
  <c r="E99" i="4" s="1"/>
  <c r="D98" i="4"/>
  <c r="E98" i="4" s="1"/>
  <c r="D97" i="4"/>
  <c r="D96" i="4"/>
  <c r="E96" i="4" s="1"/>
  <c r="D95" i="4"/>
  <c r="E95" i="4" s="1"/>
  <c r="D93" i="4"/>
  <c r="E93" i="4" s="1"/>
  <c r="D92" i="4"/>
  <c r="E92" i="4" s="1"/>
  <c r="D91" i="4"/>
  <c r="E91" i="4" s="1"/>
  <c r="D90" i="4"/>
  <c r="E90" i="4" s="1"/>
  <c r="D89" i="4"/>
  <c r="E89" i="4" s="1"/>
  <c r="D87" i="4"/>
  <c r="E87" i="4" s="1"/>
  <c r="D86" i="4"/>
  <c r="E86" i="4" s="1"/>
  <c r="D85" i="4"/>
  <c r="E85" i="4" s="1"/>
  <c r="D84" i="4"/>
  <c r="E84" i="4" s="1"/>
  <c r="D83" i="4"/>
  <c r="D81" i="4"/>
  <c r="E81" i="4" s="1"/>
  <c r="D80" i="4"/>
  <c r="E80" i="4" s="1"/>
  <c r="D79" i="4"/>
  <c r="E79" i="4" s="1"/>
  <c r="D78" i="4"/>
  <c r="E78" i="4" s="1"/>
  <c r="D77" i="4"/>
  <c r="E77" i="4" s="1"/>
  <c r="D75" i="4"/>
  <c r="E75" i="4" s="1"/>
  <c r="D74" i="4"/>
  <c r="E74" i="4" s="1"/>
  <c r="D73" i="4"/>
  <c r="D72" i="4"/>
  <c r="E72" i="4" s="1"/>
  <c r="D71" i="4"/>
  <c r="E71" i="4" s="1"/>
  <c r="D60" i="4"/>
  <c r="E60" i="4" s="1"/>
  <c r="D36" i="4"/>
  <c r="D31" i="4"/>
  <c r="E31" i="4" s="1"/>
  <c r="D27" i="4"/>
  <c r="E27" i="4" s="1"/>
  <c r="D26" i="4"/>
  <c r="E26" i="4" s="1"/>
  <c r="D25" i="4"/>
  <c r="E25" i="4" s="1"/>
  <c r="D24" i="4"/>
  <c r="D23" i="4"/>
  <c r="E23" i="4" s="1"/>
  <c r="D15" i="4"/>
  <c r="E15" i="4" s="1"/>
  <c r="D14" i="4"/>
  <c r="D13" i="4"/>
  <c r="E13" i="4" s="1"/>
  <c r="D12" i="4"/>
  <c r="E12" i="4" s="1"/>
  <c r="D11" i="4"/>
  <c r="E11" i="4" s="1"/>
  <c r="D8" i="4"/>
  <c r="E8" i="4" s="1"/>
  <c r="V133" i="3"/>
  <c r="V132" i="3"/>
  <c r="V131" i="3"/>
  <c r="V130" i="3"/>
  <c r="V129" i="3"/>
  <c r="V128" i="3"/>
  <c r="V127" i="3"/>
  <c r="V126" i="3"/>
  <c r="V125" i="3"/>
  <c r="V124" i="3"/>
  <c r="V123" i="3"/>
  <c r="V122" i="3"/>
  <c r="V121" i="3"/>
  <c r="V120" i="3"/>
  <c r="V119" i="3"/>
  <c r="V118" i="3"/>
  <c r="V117" i="3"/>
  <c r="V116" i="3"/>
  <c r="V115" i="3"/>
  <c r="V114" i="3"/>
  <c r="V113" i="3"/>
  <c r="V112" i="3"/>
  <c r="V111" i="3"/>
  <c r="V110" i="3"/>
  <c r="V109" i="3"/>
  <c r="V108" i="3"/>
  <c r="V107" i="3"/>
  <c r="V106" i="3"/>
  <c r="V105" i="3"/>
  <c r="V104" i="3"/>
  <c r="V103" i="3"/>
  <c r="V102" i="3"/>
  <c r="V101" i="3"/>
  <c r="V100" i="3"/>
  <c r="V99" i="3"/>
  <c r="V98" i="3"/>
  <c r="V97" i="3"/>
  <c r="V96" i="3"/>
  <c r="V95" i="3"/>
  <c r="V94" i="3"/>
  <c r="V93" i="3"/>
  <c r="V92" i="3"/>
  <c r="V91" i="3"/>
  <c r="V90" i="3"/>
  <c r="V89" i="3"/>
  <c r="V88" i="3"/>
  <c r="V87" i="3"/>
  <c r="V86" i="3"/>
  <c r="V85" i="3"/>
  <c r="V84" i="3"/>
  <c r="V83" i="3"/>
  <c r="V82" i="3"/>
  <c r="V81" i="3"/>
  <c r="V80" i="3"/>
  <c r="V79" i="3"/>
  <c r="V78" i="3"/>
  <c r="V77" i="3"/>
  <c r="V76" i="3"/>
  <c r="V75" i="3"/>
  <c r="V74" i="3"/>
  <c r="V73" i="3"/>
  <c r="V72" i="3"/>
  <c r="V71" i="3"/>
  <c r="V70" i="3"/>
  <c r="V69" i="3"/>
  <c r="V68" i="3"/>
  <c r="V67" i="3"/>
  <c r="V66" i="3"/>
  <c r="V65" i="3"/>
  <c r="V64" i="3"/>
  <c r="V63" i="3"/>
  <c r="V62" i="3"/>
  <c r="V61" i="3"/>
  <c r="V60" i="3"/>
  <c r="V59" i="3"/>
  <c r="V58" i="3"/>
  <c r="V57" i="3"/>
  <c r="V56" i="3"/>
  <c r="V55" i="3"/>
  <c r="V54" i="3"/>
  <c r="V53" i="3"/>
  <c r="V52" i="3"/>
  <c r="V51" i="3"/>
  <c r="V50" i="3"/>
  <c r="V49" i="3"/>
  <c r="V48" i="3"/>
  <c r="V47" i="3"/>
  <c r="V46" i="3"/>
  <c r="V45" i="3"/>
  <c r="V44" i="3"/>
  <c r="V43" i="3"/>
  <c r="V42" i="3"/>
  <c r="V41" i="3"/>
  <c r="V40" i="3"/>
  <c r="V39" i="3"/>
  <c r="V38" i="3"/>
  <c r="V37" i="3"/>
  <c r="V36" i="3"/>
  <c r="V35" i="3"/>
  <c r="V34" i="3"/>
  <c r="V33" i="3"/>
  <c r="V32" i="3"/>
  <c r="V31" i="3"/>
  <c r="V30" i="3"/>
  <c r="V29" i="3"/>
  <c r="V28" i="3"/>
  <c r="V27" i="3"/>
  <c r="V26" i="3"/>
  <c r="V25" i="3"/>
  <c r="V24" i="3"/>
  <c r="V23" i="3"/>
  <c r="V22" i="3"/>
  <c r="V21" i="3"/>
  <c r="V19" i="3"/>
  <c r="V18" i="3"/>
  <c r="V17" i="3"/>
  <c r="V16" i="3"/>
  <c r="V14" i="3"/>
  <c r="V13" i="3"/>
  <c r="V12" i="3"/>
  <c r="V11" i="3"/>
  <c r="V10" i="3"/>
  <c r="V9" i="3"/>
  <c r="V8" i="3"/>
  <c r="V7" i="3"/>
  <c r="V6" i="3"/>
  <c r="V5" i="3"/>
  <c r="V4" i="3"/>
  <c r="E158" i="2"/>
  <c r="F158" i="2" s="1"/>
  <c r="E157" i="2"/>
  <c r="F157" i="2" s="1"/>
  <c r="E156" i="2"/>
  <c r="F156" i="2" s="1"/>
  <c r="E155" i="2"/>
  <c r="E154" i="2"/>
  <c r="F154" i="2" s="1"/>
  <c r="E152" i="2"/>
  <c r="F152" i="2" s="1"/>
  <c r="E151" i="2"/>
  <c r="F151" i="2" s="1"/>
  <c r="E150" i="2"/>
  <c r="F150" i="2" s="1"/>
  <c r="E149" i="2"/>
  <c r="F149" i="2" s="1"/>
  <c r="E148" i="2"/>
  <c r="F148" i="2" s="1"/>
  <c r="E146" i="2"/>
  <c r="F146" i="2" s="1"/>
  <c r="E145" i="2"/>
  <c r="F145" i="2" s="1"/>
  <c r="E144" i="2"/>
  <c r="F144" i="2" s="1"/>
  <c r="E143" i="2"/>
  <c r="F143" i="2" s="1"/>
  <c r="E142" i="2"/>
  <c r="F142" i="2" s="1"/>
  <c r="E140" i="2"/>
  <c r="F140" i="2" s="1"/>
  <c r="E139" i="2"/>
  <c r="F139" i="2" s="1"/>
  <c r="E138" i="2"/>
  <c r="F138" i="2" s="1"/>
  <c r="E137" i="2"/>
  <c r="F137" i="2" s="1"/>
  <c r="E136" i="2"/>
  <c r="E134" i="2"/>
  <c r="F134" i="2" s="1"/>
  <c r="E133" i="2"/>
  <c r="F133" i="2" s="1"/>
  <c r="E132" i="2"/>
  <c r="F132" i="2" s="1"/>
  <c r="E131" i="2"/>
  <c r="E130" i="2"/>
  <c r="F130" i="2" s="1"/>
  <c r="E128" i="2"/>
  <c r="F128" i="2" s="1"/>
  <c r="E127" i="2"/>
  <c r="F127" i="2" s="1"/>
  <c r="E126" i="2"/>
  <c r="F126" i="2" s="1"/>
  <c r="E125" i="2"/>
  <c r="F125" i="2" s="1"/>
  <c r="E124" i="2"/>
  <c r="F124" i="2" s="1"/>
  <c r="D122" i="2"/>
  <c r="D121" i="2"/>
  <c r="E120" i="2"/>
  <c r="D120" i="2"/>
  <c r="D119" i="2"/>
  <c r="E116" i="2"/>
  <c r="F116" i="2" s="1"/>
  <c r="E115" i="2"/>
  <c r="F115" i="2" s="1"/>
  <c r="E114" i="2"/>
  <c r="F114" i="2" s="1"/>
  <c r="E113" i="2"/>
  <c r="F113" i="2" s="1"/>
  <c r="E112" i="2"/>
  <c r="F112" i="2" s="1"/>
  <c r="E110" i="2"/>
  <c r="F110" i="2" s="1"/>
  <c r="E109" i="2"/>
  <c r="F109" i="2" s="1"/>
  <c r="E108" i="2"/>
  <c r="F108" i="2" s="1"/>
  <c r="E107" i="2"/>
  <c r="F107" i="2" s="1"/>
  <c r="E106" i="2"/>
  <c r="E104" i="2"/>
  <c r="F104" i="2" s="1"/>
  <c r="E103" i="2"/>
  <c r="F103" i="2" s="1"/>
  <c r="E102" i="2"/>
  <c r="F102" i="2" s="1"/>
  <c r="E101" i="2"/>
  <c r="F101" i="2" s="1"/>
  <c r="E100" i="2"/>
  <c r="F100" i="2" s="1"/>
  <c r="E98" i="2"/>
  <c r="F98" i="2" s="1"/>
  <c r="E97" i="2"/>
  <c r="F97" i="2" s="1"/>
  <c r="E96" i="2"/>
  <c r="F96" i="2" s="1"/>
  <c r="E95" i="2"/>
  <c r="F95" i="2" s="1"/>
  <c r="E94" i="2"/>
  <c r="F94" i="2" s="1"/>
  <c r="E92" i="2"/>
  <c r="F92" i="2" s="1"/>
  <c r="E91" i="2"/>
  <c r="F91" i="2" s="1"/>
  <c r="E90" i="2"/>
  <c r="F90" i="2" s="1"/>
  <c r="E89" i="2"/>
  <c r="F89" i="2" s="1"/>
  <c r="E88" i="2"/>
  <c r="D88" i="2"/>
  <c r="E86" i="2"/>
  <c r="F86" i="2" s="1"/>
  <c r="E85" i="2"/>
  <c r="F85" i="2" s="1"/>
  <c r="E84" i="2"/>
  <c r="F84" i="2" s="1"/>
  <c r="E83" i="2"/>
  <c r="E82" i="2"/>
  <c r="F82" i="2" s="1"/>
  <c r="E80" i="2"/>
  <c r="F80" i="2" s="1"/>
  <c r="E79" i="2"/>
  <c r="F79" i="2" s="1"/>
  <c r="E78" i="2"/>
  <c r="F78" i="2" s="1"/>
  <c r="E77" i="2"/>
  <c r="F77" i="2" s="1"/>
  <c r="E76" i="2"/>
  <c r="F76" i="2" s="1"/>
  <c r="E74" i="2"/>
  <c r="F74" i="2" s="1"/>
  <c r="E73" i="2"/>
  <c r="F73" i="2" s="1"/>
  <c r="E72" i="2"/>
  <c r="F72" i="2" s="1"/>
  <c r="G72" i="2" s="1"/>
  <c r="E71" i="2"/>
  <c r="F71" i="2" s="1"/>
  <c r="E70" i="2"/>
  <c r="F70" i="2" s="1"/>
  <c r="D62" i="2"/>
  <c r="D61" i="2"/>
  <c r="D60" i="2"/>
  <c r="E59" i="2"/>
  <c r="D59" i="2"/>
  <c r="D58" i="2"/>
  <c r="D56" i="2"/>
  <c r="D55" i="2"/>
  <c r="D54" i="2"/>
  <c r="D53" i="2"/>
  <c r="D52" i="2"/>
  <c r="D50" i="2"/>
  <c r="D49" i="2"/>
  <c r="D48" i="2"/>
  <c r="D47" i="2"/>
  <c r="D46" i="2"/>
  <c r="D44" i="2"/>
  <c r="D43" i="2"/>
  <c r="D42" i="2"/>
  <c r="D41" i="2"/>
  <c r="D40" i="2"/>
  <c r="D38" i="2"/>
  <c r="D37" i="2"/>
  <c r="D36" i="2"/>
  <c r="D35" i="2"/>
  <c r="D34" i="2"/>
  <c r="D32" i="2"/>
  <c r="D31" i="2"/>
  <c r="E30" i="2"/>
  <c r="D30" i="2"/>
  <c r="D29" i="2"/>
  <c r="D28" i="2"/>
  <c r="E26" i="2"/>
  <c r="F26" i="2" s="1"/>
  <c r="E25" i="2"/>
  <c r="F25" i="2" s="1"/>
  <c r="E24" i="2"/>
  <c r="F24" i="2" s="1"/>
  <c r="E23" i="2"/>
  <c r="F23" i="2" s="1"/>
  <c r="E22" i="2"/>
  <c r="F22" i="2" s="1"/>
  <c r="D20" i="2"/>
  <c r="D19" i="2"/>
  <c r="D18" i="2"/>
  <c r="D17" i="2"/>
  <c r="D16" i="2"/>
  <c r="E14" i="2"/>
  <c r="F14" i="2" s="1"/>
  <c r="E13" i="2"/>
  <c r="F13" i="2" s="1"/>
  <c r="E12" i="2"/>
  <c r="F12" i="2" s="1"/>
  <c r="E11" i="2"/>
  <c r="F11" i="2" s="1"/>
  <c r="E10" i="2"/>
  <c r="D8" i="2"/>
  <c r="D7" i="2"/>
  <c r="D6" i="2"/>
  <c r="X1238" i="1"/>
  <c r="X1237" i="1"/>
  <c r="X1236" i="1"/>
  <c r="X1235" i="1"/>
  <c r="X1234" i="1"/>
  <c r="X1233" i="1"/>
  <c r="X1232" i="1"/>
  <c r="X1231" i="1"/>
  <c r="X1230" i="1"/>
  <c r="X1229" i="1"/>
  <c r="X1228" i="1"/>
  <c r="X1227" i="1"/>
  <c r="X1226" i="1"/>
  <c r="X1225" i="1"/>
  <c r="X1224" i="1"/>
  <c r="X1223" i="1"/>
  <c r="X1222" i="1"/>
  <c r="X1221" i="1"/>
  <c r="X1220" i="1"/>
  <c r="X1219" i="1"/>
  <c r="X1218" i="1"/>
  <c r="X1217" i="1"/>
  <c r="X1216" i="1"/>
  <c r="X1215" i="1"/>
  <c r="X1214" i="1"/>
  <c r="X1213" i="1"/>
  <c r="X1212" i="1"/>
  <c r="X1211" i="1"/>
  <c r="X1210" i="1"/>
  <c r="X1209" i="1"/>
  <c r="X1208" i="1"/>
  <c r="X1207" i="1"/>
  <c r="X1206" i="1"/>
  <c r="X1205" i="1"/>
  <c r="X1204" i="1"/>
  <c r="X1203" i="1"/>
  <c r="X1202" i="1"/>
  <c r="X1201" i="1"/>
  <c r="X1200" i="1"/>
  <c r="X1199" i="1"/>
  <c r="X1198" i="1"/>
  <c r="X1197" i="1"/>
  <c r="X1196" i="1"/>
  <c r="X1195" i="1"/>
  <c r="X1194" i="1"/>
  <c r="X1193" i="1"/>
  <c r="X1192" i="1"/>
  <c r="X1191" i="1"/>
  <c r="X1190" i="1"/>
  <c r="X1189" i="1"/>
  <c r="X1188" i="1"/>
  <c r="X1187" i="1"/>
  <c r="X1186" i="1"/>
  <c r="X1185" i="1"/>
  <c r="X1184" i="1"/>
  <c r="X1183" i="1"/>
  <c r="X1182" i="1"/>
  <c r="X1181" i="1"/>
  <c r="X1180" i="1"/>
  <c r="X1179" i="1"/>
  <c r="X1178" i="1"/>
  <c r="X1177" i="1"/>
  <c r="X1176" i="1"/>
  <c r="X1175" i="1"/>
  <c r="X1174" i="1"/>
  <c r="X1173" i="1"/>
  <c r="X1172" i="1"/>
  <c r="X1171" i="1"/>
  <c r="X1170" i="1"/>
  <c r="X1169" i="1"/>
  <c r="X1168" i="1"/>
  <c r="X1167" i="1"/>
  <c r="X1166" i="1"/>
  <c r="X1165" i="1"/>
  <c r="X1164" i="1"/>
  <c r="X1163" i="1"/>
  <c r="X1162" i="1"/>
  <c r="X1161" i="1"/>
  <c r="X1160" i="1"/>
  <c r="X1159" i="1"/>
  <c r="X1158" i="1"/>
  <c r="X1157" i="1"/>
  <c r="X1156" i="1"/>
  <c r="X1155" i="1"/>
  <c r="X1154" i="1"/>
  <c r="X1153" i="1"/>
  <c r="X1152" i="1"/>
  <c r="X1151" i="1"/>
  <c r="X1150" i="1"/>
  <c r="X1149" i="1"/>
  <c r="X1148" i="1"/>
  <c r="X1147" i="1"/>
  <c r="X1146" i="1"/>
  <c r="X1145" i="1"/>
  <c r="X1144" i="1"/>
  <c r="X1143" i="1"/>
  <c r="X1142" i="1"/>
  <c r="X1141" i="1"/>
  <c r="X1140" i="1"/>
  <c r="X1139" i="1"/>
  <c r="X1138" i="1"/>
  <c r="X1137" i="1"/>
  <c r="X1136" i="1"/>
  <c r="X1135" i="1"/>
  <c r="X1134" i="1"/>
  <c r="X1133" i="1"/>
  <c r="X1132" i="1"/>
  <c r="X1131" i="1"/>
  <c r="X1130" i="1"/>
  <c r="X1129" i="1"/>
  <c r="X1128" i="1"/>
  <c r="X1127" i="1"/>
  <c r="X1126" i="1"/>
  <c r="X1125" i="1"/>
  <c r="X1124" i="1"/>
  <c r="X1123" i="1"/>
  <c r="X1122" i="1"/>
  <c r="X1121" i="1"/>
  <c r="X1120" i="1"/>
  <c r="X1119" i="1"/>
  <c r="X1118" i="1"/>
  <c r="X1117" i="1"/>
  <c r="X1116" i="1"/>
  <c r="X1115" i="1"/>
  <c r="X1114" i="1"/>
  <c r="X1113" i="1"/>
  <c r="X1112" i="1"/>
  <c r="X1111" i="1"/>
  <c r="X1110" i="1"/>
  <c r="X1109" i="1"/>
  <c r="X1102" i="1"/>
  <c r="X1101" i="1"/>
  <c r="X1100" i="1"/>
  <c r="X1099" i="1"/>
  <c r="X1098" i="1"/>
  <c r="X1097" i="1"/>
  <c r="X1096" i="1"/>
  <c r="X1095" i="1"/>
  <c r="X1094" i="1"/>
  <c r="X1093" i="1"/>
  <c r="X1092" i="1"/>
  <c r="X1091" i="1"/>
  <c r="X1090" i="1"/>
  <c r="X1089" i="1"/>
  <c r="X1088" i="1"/>
  <c r="X1087" i="1"/>
  <c r="X1086" i="1"/>
  <c r="X1085" i="1"/>
  <c r="X1084" i="1"/>
  <c r="X1083" i="1"/>
  <c r="X1082" i="1"/>
  <c r="X1081" i="1"/>
  <c r="X1080" i="1"/>
  <c r="X1079" i="1"/>
  <c r="X1078" i="1"/>
  <c r="X1077" i="1"/>
  <c r="X1076" i="1"/>
  <c r="X1075" i="1"/>
  <c r="X1074" i="1"/>
  <c r="X1073" i="1"/>
  <c r="X1072" i="1"/>
  <c r="X1071" i="1"/>
  <c r="X1070" i="1"/>
  <c r="X1069" i="1"/>
  <c r="X1068" i="1"/>
  <c r="X1067" i="1"/>
  <c r="X1066" i="1"/>
  <c r="X1065" i="1"/>
  <c r="X1064" i="1"/>
  <c r="X1063" i="1"/>
  <c r="X1062" i="1"/>
  <c r="X1061" i="1"/>
  <c r="X1060" i="1"/>
  <c r="X1059" i="1"/>
  <c r="X1058" i="1"/>
  <c r="X1057" i="1"/>
  <c r="X1056" i="1"/>
  <c r="X1055" i="1"/>
  <c r="X1054" i="1"/>
  <c r="X1053" i="1"/>
  <c r="X1052" i="1"/>
  <c r="X1051" i="1"/>
  <c r="X1050" i="1"/>
  <c r="X1049" i="1"/>
  <c r="X1048" i="1"/>
  <c r="X1047" i="1"/>
  <c r="X1046" i="1"/>
  <c r="X1045" i="1"/>
  <c r="X1044" i="1"/>
  <c r="X1043" i="1"/>
  <c r="X1042" i="1"/>
  <c r="X1041" i="1"/>
  <c r="X1040" i="1"/>
  <c r="X1039" i="1"/>
  <c r="X1038" i="1"/>
  <c r="X1037" i="1"/>
  <c r="X1036" i="1"/>
  <c r="X1035" i="1"/>
  <c r="X1034" i="1"/>
  <c r="X1033" i="1"/>
  <c r="X1032" i="1"/>
  <c r="X1031" i="1"/>
  <c r="X1030" i="1"/>
  <c r="X1029" i="1"/>
  <c r="X1028" i="1"/>
  <c r="X1027" i="1"/>
  <c r="X1026" i="1"/>
  <c r="X1025" i="1"/>
  <c r="X1024" i="1"/>
  <c r="X1023" i="1"/>
  <c r="X1022" i="1"/>
  <c r="X1021" i="1"/>
  <c r="X1020" i="1"/>
  <c r="X1019" i="1"/>
  <c r="X1018" i="1"/>
  <c r="X1017" i="1"/>
  <c r="X1016" i="1"/>
  <c r="X1015" i="1"/>
  <c r="X1014" i="1"/>
  <c r="X1013" i="1"/>
  <c r="X1012" i="1"/>
  <c r="X1011" i="1"/>
  <c r="X1010" i="1"/>
  <c r="X1009" i="1"/>
  <c r="X1008" i="1"/>
  <c r="X1007" i="1"/>
  <c r="X1006" i="1"/>
  <c r="X1005" i="1"/>
  <c r="X1004" i="1"/>
  <c r="X1003" i="1"/>
  <c r="X1002" i="1"/>
  <c r="X1001" i="1"/>
  <c r="X1000" i="1"/>
  <c r="X999" i="1"/>
  <c r="X998" i="1"/>
  <c r="X997" i="1"/>
  <c r="X996" i="1"/>
  <c r="X995" i="1"/>
  <c r="X994" i="1"/>
  <c r="X993" i="1"/>
  <c r="X992" i="1"/>
  <c r="X991" i="1"/>
  <c r="X990" i="1"/>
  <c r="X989" i="1"/>
  <c r="X988" i="1"/>
  <c r="X987" i="1"/>
  <c r="X986" i="1"/>
  <c r="X985" i="1"/>
  <c r="X984" i="1"/>
  <c r="X983" i="1"/>
  <c r="X982" i="1"/>
  <c r="X981" i="1"/>
  <c r="X980" i="1"/>
  <c r="X979" i="1"/>
  <c r="X978" i="1"/>
  <c r="X977" i="1"/>
  <c r="X976" i="1"/>
  <c r="X975" i="1"/>
  <c r="X974" i="1"/>
  <c r="X973" i="1"/>
  <c r="S967" i="1"/>
  <c r="S966" i="1"/>
  <c r="S965" i="1"/>
  <c r="S964" i="1"/>
  <c r="S963" i="1"/>
  <c r="S962" i="1"/>
  <c r="S961" i="1"/>
  <c r="S960" i="1"/>
  <c r="S959" i="1"/>
  <c r="S958" i="1"/>
  <c r="S957" i="1"/>
  <c r="S956" i="1"/>
  <c r="S955" i="1"/>
  <c r="S954" i="1"/>
  <c r="S953" i="1"/>
  <c r="S952" i="1"/>
  <c r="S951" i="1"/>
  <c r="S950" i="1"/>
  <c r="S949" i="1"/>
  <c r="S948" i="1"/>
  <c r="S947" i="1"/>
  <c r="S946" i="1"/>
  <c r="S945" i="1"/>
  <c r="S944" i="1"/>
  <c r="S943" i="1"/>
  <c r="S942" i="1"/>
  <c r="S941" i="1"/>
  <c r="S940" i="1"/>
  <c r="S939" i="1"/>
  <c r="S938" i="1"/>
  <c r="S937" i="1"/>
  <c r="S936" i="1"/>
  <c r="S935" i="1"/>
  <c r="S934" i="1"/>
  <c r="S933" i="1"/>
  <c r="S932" i="1"/>
  <c r="S931" i="1"/>
  <c r="S930" i="1"/>
  <c r="S929" i="1"/>
  <c r="S928" i="1"/>
  <c r="S927" i="1"/>
  <c r="S926" i="1"/>
  <c r="S925" i="1"/>
  <c r="S924" i="1"/>
  <c r="S923" i="1"/>
  <c r="S922" i="1"/>
  <c r="S921" i="1"/>
  <c r="S920" i="1"/>
  <c r="S919" i="1"/>
  <c r="S918" i="1"/>
  <c r="S917" i="1"/>
  <c r="S916" i="1"/>
  <c r="S915" i="1"/>
  <c r="S914" i="1"/>
  <c r="S913" i="1"/>
  <c r="S912" i="1"/>
  <c r="S911" i="1"/>
  <c r="S910" i="1"/>
  <c r="S909" i="1"/>
  <c r="S908" i="1"/>
  <c r="S907" i="1"/>
  <c r="S906" i="1"/>
  <c r="S905" i="1"/>
  <c r="S904" i="1"/>
  <c r="S903" i="1"/>
  <c r="S902" i="1"/>
  <c r="S901" i="1"/>
  <c r="S900" i="1"/>
  <c r="S899" i="1"/>
  <c r="S898" i="1"/>
  <c r="S897" i="1"/>
  <c r="S896" i="1"/>
  <c r="S895" i="1"/>
  <c r="S894" i="1"/>
  <c r="S893" i="1"/>
  <c r="S892" i="1"/>
  <c r="S891" i="1"/>
  <c r="S890" i="1"/>
  <c r="S889" i="1"/>
  <c r="S888" i="1"/>
  <c r="S887" i="1"/>
  <c r="S886" i="1"/>
  <c r="S885" i="1"/>
  <c r="S884" i="1"/>
  <c r="S883" i="1"/>
  <c r="S882" i="1"/>
  <c r="S881" i="1"/>
  <c r="S880" i="1"/>
  <c r="S879" i="1"/>
  <c r="S878" i="1"/>
  <c r="S877" i="1"/>
  <c r="S876" i="1"/>
  <c r="S875" i="1"/>
  <c r="S874" i="1"/>
  <c r="S873" i="1"/>
  <c r="S872" i="1"/>
  <c r="S871" i="1"/>
  <c r="S870" i="1"/>
  <c r="S869" i="1"/>
  <c r="S868" i="1"/>
  <c r="S867" i="1"/>
  <c r="S866" i="1"/>
  <c r="S865" i="1"/>
  <c r="S864" i="1"/>
  <c r="S863" i="1"/>
  <c r="S862" i="1"/>
  <c r="S861" i="1"/>
  <c r="S860" i="1"/>
  <c r="S859" i="1"/>
  <c r="S858" i="1"/>
  <c r="S857" i="1"/>
  <c r="S856" i="1"/>
  <c r="S855" i="1"/>
  <c r="S854" i="1"/>
  <c r="S853" i="1"/>
  <c r="S852" i="1"/>
  <c r="S851" i="1"/>
  <c r="S850" i="1"/>
  <c r="S849" i="1"/>
  <c r="S848" i="1"/>
  <c r="S847" i="1"/>
  <c r="S846" i="1"/>
  <c r="S845" i="1"/>
  <c r="S844" i="1"/>
  <c r="S843" i="1"/>
  <c r="S842" i="1"/>
  <c r="S841" i="1"/>
  <c r="S840" i="1"/>
  <c r="S839" i="1"/>
  <c r="S838" i="1"/>
  <c r="S832" i="1"/>
  <c r="S831" i="1"/>
  <c r="S830" i="1"/>
  <c r="S829" i="1"/>
  <c r="S828" i="1"/>
  <c r="S827" i="1"/>
  <c r="S826" i="1"/>
  <c r="S825" i="1"/>
  <c r="S824" i="1"/>
  <c r="S823" i="1"/>
  <c r="S822" i="1"/>
  <c r="S821" i="1"/>
  <c r="S820" i="1"/>
  <c r="S819" i="1"/>
  <c r="S818" i="1"/>
  <c r="S817" i="1"/>
  <c r="S816" i="1"/>
  <c r="S815" i="1"/>
  <c r="S814" i="1"/>
  <c r="S813" i="1"/>
  <c r="S812" i="1"/>
  <c r="S811" i="1"/>
  <c r="S810" i="1"/>
  <c r="S809" i="1"/>
  <c r="S808" i="1"/>
  <c r="S807" i="1"/>
  <c r="S806" i="1"/>
  <c r="S805" i="1"/>
  <c r="S804" i="1"/>
  <c r="S803" i="1"/>
  <c r="S802" i="1"/>
  <c r="S801" i="1"/>
  <c r="S800" i="1"/>
  <c r="S799" i="1"/>
  <c r="S798" i="1"/>
  <c r="S797" i="1"/>
  <c r="S796" i="1"/>
  <c r="S795" i="1"/>
  <c r="S794" i="1"/>
  <c r="S793" i="1"/>
  <c r="S792" i="1"/>
  <c r="S791" i="1"/>
  <c r="S790" i="1"/>
  <c r="S789" i="1"/>
  <c r="S788" i="1"/>
  <c r="S787" i="1"/>
  <c r="S786" i="1"/>
  <c r="S785" i="1"/>
  <c r="S784" i="1"/>
  <c r="S783" i="1"/>
  <c r="S782" i="1"/>
  <c r="S781" i="1"/>
  <c r="S780" i="1"/>
  <c r="S779" i="1"/>
  <c r="S778" i="1"/>
  <c r="S777" i="1"/>
  <c r="S776" i="1"/>
  <c r="S775" i="1"/>
  <c r="S774" i="1"/>
  <c r="S773" i="1"/>
  <c r="S772" i="1"/>
  <c r="S771" i="1"/>
  <c r="S770" i="1"/>
  <c r="S769" i="1"/>
  <c r="S768" i="1"/>
  <c r="S767" i="1"/>
  <c r="S766" i="1"/>
  <c r="S765" i="1"/>
  <c r="S764" i="1"/>
  <c r="S763" i="1"/>
  <c r="S762" i="1"/>
  <c r="S761" i="1"/>
  <c r="S760" i="1"/>
  <c r="S759" i="1"/>
  <c r="S758" i="1"/>
  <c r="S757" i="1"/>
  <c r="S756" i="1"/>
  <c r="S755" i="1"/>
  <c r="S754" i="1"/>
  <c r="S753" i="1"/>
  <c r="S752" i="1"/>
  <c r="S751" i="1"/>
  <c r="S750" i="1"/>
  <c r="S749" i="1"/>
  <c r="S748" i="1"/>
  <c r="S747" i="1"/>
  <c r="S746" i="1"/>
  <c r="S745" i="1"/>
  <c r="S744" i="1"/>
  <c r="S743" i="1"/>
  <c r="S742" i="1"/>
  <c r="S741" i="1"/>
  <c r="S740" i="1"/>
  <c r="S739" i="1"/>
  <c r="S738" i="1"/>
  <c r="S737" i="1"/>
  <c r="S736" i="1"/>
  <c r="S735" i="1"/>
  <c r="S734" i="1"/>
  <c r="S733" i="1"/>
  <c r="S732" i="1"/>
  <c r="S731" i="1"/>
  <c r="S730" i="1"/>
  <c r="S729" i="1"/>
  <c r="S728" i="1"/>
  <c r="S727" i="1"/>
  <c r="S726" i="1"/>
  <c r="S725" i="1"/>
  <c r="S724" i="1"/>
  <c r="S723" i="1"/>
  <c r="S722" i="1"/>
  <c r="S721" i="1"/>
  <c r="S720" i="1"/>
  <c r="S719" i="1"/>
  <c r="S718" i="1"/>
  <c r="S717" i="1"/>
  <c r="S716" i="1"/>
  <c r="S715" i="1"/>
  <c r="S714" i="1"/>
  <c r="S713" i="1"/>
  <c r="S712" i="1"/>
  <c r="S711" i="1"/>
  <c r="S710" i="1"/>
  <c r="S709" i="1"/>
  <c r="S708" i="1"/>
  <c r="S707" i="1"/>
  <c r="S706" i="1"/>
  <c r="S705" i="1"/>
  <c r="S704" i="1"/>
  <c r="S703" i="1"/>
  <c r="U698" i="1"/>
  <c r="U697" i="1"/>
  <c r="U696" i="1"/>
  <c r="U695" i="1"/>
  <c r="U694" i="1"/>
  <c r="U693" i="1"/>
  <c r="U692" i="1"/>
  <c r="U691" i="1"/>
  <c r="U690" i="1"/>
  <c r="U689" i="1"/>
  <c r="U688" i="1"/>
  <c r="U687" i="1"/>
  <c r="U686" i="1"/>
  <c r="U685" i="1"/>
  <c r="U684" i="1"/>
  <c r="U683" i="1"/>
  <c r="U682" i="1"/>
  <c r="U681" i="1"/>
  <c r="U680" i="1"/>
  <c r="U679" i="1"/>
  <c r="U678"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X563" i="1"/>
  <c r="X562" i="1"/>
  <c r="X561" i="1"/>
  <c r="X560" i="1"/>
  <c r="X559" i="1"/>
  <c r="X558" i="1"/>
  <c r="X557" i="1"/>
  <c r="X556" i="1"/>
  <c r="X555" i="1"/>
  <c r="X554" i="1"/>
  <c r="X553" i="1"/>
  <c r="X552" i="1"/>
  <c r="X551" i="1"/>
  <c r="X550" i="1"/>
  <c r="X549" i="1"/>
  <c r="X548" i="1"/>
  <c r="X547" i="1"/>
  <c r="X546" i="1"/>
  <c r="X545" i="1"/>
  <c r="X544" i="1"/>
  <c r="X543" i="1"/>
  <c r="X542" i="1"/>
  <c r="X541" i="1"/>
  <c r="X540" i="1"/>
  <c r="X539" i="1"/>
  <c r="X538" i="1"/>
  <c r="X537" i="1"/>
  <c r="X536" i="1"/>
  <c r="X535" i="1"/>
  <c r="X534" i="1"/>
  <c r="X533" i="1"/>
  <c r="X532" i="1"/>
  <c r="X531" i="1"/>
  <c r="X530" i="1"/>
  <c r="X529" i="1"/>
  <c r="X528" i="1"/>
  <c r="X527" i="1"/>
  <c r="X526" i="1"/>
  <c r="X525" i="1"/>
  <c r="X524" i="1"/>
  <c r="X523" i="1"/>
  <c r="X522" i="1"/>
  <c r="X521" i="1"/>
  <c r="X520" i="1"/>
  <c r="X519" i="1"/>
  <c r="X518" i="1"/>
  <c r="X517" i="1"/>
  <c r="X516" i="1"/>
  <c r="X515" i="1"/>
  <c r="X514" i="1"/>
  <c r="X513" i="1"/>
  <c r="X512" i="1"/>
  <c r="X511" i="1"/>
  <c r="X510" i="1"/>
  <c r="X509" i="1"/>
  <c r="X508" i="1"/>
  <c r="X507" i="1"/>
  <c r="X506" i="1"/>
  <c r="X505" i="1"/>
  <c r="X504" i="1"/>
  <c r="X503" i="1"/>
  <c r="X502" i="1"/>
  <c r="X501" i="1"/>
  <c r="X500" i="1"/>
  <c r="X499" i="1"/>
  <c r="X498" i="1"/>
  <c r="X497" i="1"/>
  <c r="X496" i="1"/>
  <c r="X495" i="1"/>
  <c r="X494" i="1"/>
  <c r="X493" i="1"/>
  <c r="X492" i="1"/>
  <c r="X491" i="1"/>
  <c r="X490" i="1"/>
  <c r="X489" i="1"/>
  <c r="X488" i="1"/>
  <c r="X487" i="1"/>
  <c r="X486" i="1"/>
  <c r="X485" i="1"/>
  <c r="X484" i="1"/>
  <c r="X483" i="1"/>
  <c r="X482" i="1"/>
  <c r="X481" i="1"/>
  <c r="X480" i="1"/>
  <c r="X479" i="1"/>
  <c r="X478" i="1"/>
  <c r="X477" i="1"/>
  <c r="X476" i="1"/>
  <c r="X475" i="1"/>
  <c r="X474" i="1"/>
  <c r="X473" i="1"/>
  <c r="X472" i="1"/>
  <c r="X471" i="1"/>
  <c r="X470" i="1"/>
  <c r="X469" i="1"/>
  <c r="X468" i="1"/>
  <c r="X467" i="1"/>
  <c r="X466" i="1"/>
  <c r="X465" i="1"/>
  <c r="X464" i="1"/>
  <c r="X463" i="1"/>
  <c r="X462" i="1"/>
  <c r="X461" i="1"/>
  <c r="X460" i="1"/>
  <c r="X459" i="1"/>
  <c r="X458" i="1"/>
  <c r="X457" i="1"/>
  <c r="X456" i="1"/>
  <c r="X455" i="1"/>
  <c r="X454" i="1"/>
  <c r="X453" i="1"/>
  <c r="X452" i="1"/>
  <c r="X451" i="1"/>
  <c r="X450" i="1"/>
  <c r="X449" i="1"/>
  <c r="X448" i="1"/>
  <c r="X447" i="1"/>
  <c r="X446" i="1"/>
  <c r="X445" i="1"/>
  <c r="X444" i="1"/>
  <c r="X443" i="1"/>
  <c r="X442" i="1"/>
  <c r="X441" i="1"/>
  <c r="X440" i="1"/>
  <c r="X439" i="1"/>
  <c r="X438" i="1"/>
  <c r="X437" i="1"/>
  <c r="X436" i="1"/>
  <c r="X435" i="1"/>
  <c r="X434" i="1"/>
  <c r="X428" i="1"/>
  <c r="X427" i="1"/>
  <c r="X426" i="1"/>
  <c r="X425" i="1"/>
  <c r="X424" i="1"/>
  <c r="X423" i="1"/>
  <c r="X422" i="1"/>
  <c r="X421" i="1"/>
  <c r="X420" i="1"/>
  <c r="X419" i="1"/>
  <c r="X418" i="1"/>
  <c r="X417" i="1"/>
  <c r="X416" i="1"/>
  <c r="X415" i="1"/>
  <c r="X414" i="1"/>
  <c r="X413" i="1"/>
  <c r="X412" i="1"/>
  <c r="X411" i="1"/>
  <c r="X410" i="1"/>
  <c r="X409" i="1"/>
  <c r="X408" i="1"/>
  <c r="X407" i="1"/>
  <c r="X406" i="1"/>
  <c r="X405" i="1"/>
  <c r="X404" i="1"/>
  <c r="X403" i="1"/>
  <c r="X402" i="1"/>
  <c r="X401" i="1"/>
  <c r="X400" i="1"/>
  <c r="X399" i="1"/>
  <c r="X398" i="1"/>
  <c r="X397" i="1"/>
  <c r="X396" i="1"/>
  <c r="X395" i="1"/>
  <c r="X394" i="1"/>
  <c r="X393" i="1"/>
  <c r="X392" i="1"/>
  <c r="X391" i="1"/>
  <c r="X390" i="1"/>
  <c r="X389" i="1"/>
  <c r="X388" i="1"/>
  <c r="X387" i="1"/>
  <c r="X386" i="1"/>
  <c r="X385" i="1"/>
  <c r="X384" i="1"/>
  <c r="X383" i="1"/>
  <c r="X382" i="1"/>
  <c r="X381" i="1"/>
  <c r="X380" i="1"/>
  <c r="X379" i="1"/>
  <c r="X378" i="1"/>
  <c r="X377" i="1"/>
  <c r="X376" i="1"/>
  <c r="X375" i="1"/>
  <c r="X374" i="1"/>
  <c r="X373" i="1"/>
  <c r="X372" i="1"/>
  <c r="X371" i="1"/>
  <c r="X370" i="1"/>
  <c r="X369" i="1"/>
  <c r="X368" i="1"/>
  <c r="X367" i="1"/>
  <c r="X366" i="1"/>
  <c r="X365" i="1"/>
  <c r="X364" i="1"/>
  <c r="X363" i="1"/>
  <c r="X362" i="1"/>
  <c r="X361" i="1"/>
  <c r="X360" i="1"/>
  <c r="X359" i="1"/>
  <c r="X358" i="1"/>
  <c r="X357" i="1"/>
  <c r="X356" i="1"/>
  <c r="X355" i="1"/>
  <c r="X354" i="1"/>
  <c r="X353" i="1"/>
  <c r="X352" i="1"/>
  <c r="X351" i="1"/>
  <c r="X350" i="1"/>
  <c r="X349" i="1"/>
  <c r="X348" i="1"/>
  <c r="X347" i="1"/>
  <c r="X346" i="1"/>
  <c r="X345" i="1"/>
  <c r="X344" i="1"/>
  <c r="X343" i="1"/>
  <c r="X342" i="1"/>
  <c r="X341" i="1"/>
  <c r="X340" i="1"/>
  <c r="X339" i="1"/>
  <c r="X338" i="1"/>
  <c r="X337" i="1"/>
  <c r="X336" i="1"/>
  <c r="X335" i="1"/>
  <c r="X334" i="1"/>
  <c r="X333" i="1"/>
  <c r="X332" i="1"/>
  <c r="X331" i="1"/>
  <c r="X330" i="1"/>
  <c r="X329" i="1"/>
  <c r="X328" i="1"/>
  <c r="X327" i="1"/>
  <c r="X326" i="1"/>
  <c r="X325" i="1"/>
  <c r="X324" i="1"/>
  <c r="X323" i="1"/>
  <c r="X322" i="1"/>
  <c r="X321" i="1"/>
  <c r="X320" i="1"/>
  <c r="X319" i="1"/>
  <c r="X318" i="1"/>
  <c r="X317" i="1"/>
  <c r="X316" i="1"/>
  <c r="X315" i="1"/>
  <c r="X314" i="1"/>
  <c r="X313" i="1"/>
  <c r="X312" i="1"/>
  <c r="X311" i="1"/>
  <c r="X310" i="1"/>
  <c r="X309" i="1"/>
  <c r="X308" i="1"/>
  <c r="X307" i="1"/>
  <c r="X306" i="1"/>
  <c r="X305" i="1"/>
  <c r="X304" i="1"/>
  <c r="X303" i="1"/>
  <c r="X302" i="1"/>
  <c r="X301" i="1"/>
  <c r="X300" i="1"/>
  <c r="X299" i="1"/>
  <c r="X294" i="1"/>
  <c r="X293" i="1"/>
  <c r="X292" i="1"/>
  <c r="X291" i="1"/>
  <c r="D156" i="1" s="1"/>
  <c r="E156" i="1" s="1"/>
  <c r="X290" i="1"/>
  <c r="X289" i="1"/>
  <c r="X288" i="1"/>
  <c r="X287" i="1"/>
  <c r="D151" i="1" s="1"/>
  <c r="E151" i="1" s="1"/>
  <c r="X286" i="1"/>
  <c r="X285" i="1"/>
  <c r="X284" i="1"/>
  <c r="X283" i="1"/>
  <c r="D146" i="1" s="1"/>
  <c r="E146" i="1" s="1"/>
  <c r="X282" i="1"/>
  <c r="X281" i="1"/>
  <c r="X280" i="1"/>
  <c r="X279" i="1"/>
  <c r="D141" i="1" s="1"/>
  <c r="E141" i="1" s="1"/>
  <c r="X278" i="1"/>
  <c r="X277" i="1"/>
  <c r="X276" i="1"/>
  <c r="X275" i="1"/>
  <c r="D137" i="1" s="1"/>
  <c r="E137" i="1" s="1"/>
  <c r="X274" i="1"/>
  <c r="X273" i="1"/>
  <c r="X272" i="1"/>
  <c r="X271" i="1"/>
  <c r="D132" i="1" s="1"/>
  <c r="E132" i="1" s="1"/>
  <c r="X270" i="1"/>
  <c r="X269" i="1"/>
  <c r="X268" i="1"/>
  <c r="X267" i="1"/>
  <c r="D127" i="1" s="1"/>
  <c r="E127" i="1" s="1"/>
  <c r="X266" i="1"/>
  <c r="X265" i="1"/>
  <c r="X264" i="1"/>
  <c r="X263" i="1"/>
  <c r="D122" i="1" s="1"/>
  <c r="E122" i="1" s="1"/>
  <c r="X262" i="1"/>
  <c r="X261" i="1"/>
  <c r="X260" i="1"/>
  <c r="X259" i="1"/>
  <c r="D117" i="1" s="1"/>
  <c r="E117" i="1" s="1"/>
  <c r="X258" i="1"/>
  <c r="X257" i="1"/>
  <c r="X256" i="1"/>
  <c r="X255" i="1"/>
  <c r="D113" i="1" s="1"/>
  <c r="E113" i="1" s="1"/>
  <c r="X254" i="1"/>
  <c r="X253" i="1"/>
  <c r="X252" i="1"/>
  <c r="X251" i="1"/>
  <c r="D108" i="1" s="1"/>
  <c r="E108" i="1" s="1"/>
  <c r="X250" i="1"/>
  <c r="X249" i="1"/>
  <c r="X248" i="1"/>
  <c r="X247" i="1"/>
  <c r="D103" i="1" s="1"/>
  <c r="E103" i="1" s="1"/>
  <c r="X246" i="1"/>
  <c r="X245" i="1"/>
  <c r="X244" i="1"/>
  <c r="X243" i="1"/>
  <c r="D98" i="1" s="1"/>
  <c r="E98" i="1" s="1"/>
  <c r="X242" i="1"/>
  <c r="X241" i="1"/>
  <c r="X240" i="1"/>
  <c r="X239" i="1"/>
  <c r="D93" i="1" s="1"/>
  <c r="E93" i="1" s="1"/>
  <c r="X238" i="1"/>
  <c r="X237" i="1"/>
  <c r="X236" i="1"/>
  <c r="X235" i="1"/>
  <c r="D89" i="1" s="1"/>
  <c r="E89" i="1" s="1"/>
  <c r="X234" i="1"/>
  <c r="X233" i="1"/>
  <c r="X232" i="1"/>
  <c r="X231" i="1"/>
  <c r="D84" i="1" s="1"/>
  <c r="E84" i="1" s="1"/>
  <c r="X230" i="1"/>
  <c r="X229" i="1"/>
  <c r="X228" i="1"/>
  <c r="X227" i="1"/>
  <c r="D79" i="1" s="1"/>
  <c r="E79" i="1" s="1"/>
  <c r="X226" i="1"/>
  <c r="X225" i="1"/>
  <c r="X224" i="1"/>
  <c r="X223" i="1"/>
  <c r="D74" i="1" s="1"/>
  <c r="E74" i="1" s="1"/>
  <c r="X222" i="1"/>
  <c r="X221" i="1"/>
  <c r="X220" i="1"/>
  <c r="X219" i="1"/>
  <c r="D69" i="1" s="1"/>
  <c r="E69" i="1" s="1"/>
  <c r="X218" i="1"/>
  <c r="X217" i="1"/>
  <c r="X216" i="1"/>
  <c r="X215" i="1"/>
  <c r="D65" i="1" s="1"/>
  <c r="E65" i="1" s="1"/>
  <c r="X214" i="1"/>
  <c r="X213" i="1"/>
  <c r="X212" i="1"/>
  <c r="X211" i="1"/>
  <c r="D60" i="1" s="1"/>
  <c r="E60" i="1" s="1"/>
  <c r="X210" i="1"/>
  <c r="X209" i="1"/>
  <c r="X208" i="1"/>
  <c r="X207" i="1"/>
  <c r="D55" i="1" s="1"/>
  <c r="E55" i="1" s="1"/>
  <c r="X206" i="1"/>
  <c r="X205" i="1"/>
  <c r="X204" i="1"/>
  <c r="X203" i="1"/>
  <c r="D50" i="1" s="1"/>
  <c r="E50" i="1" s="1"/>
  <c r="X202" i="1"/>
  <c r="X201" i="1"/>
  <c r="X200" i="1"/>
  <c r="X199" i="1"/>
  <c r="D45" i="1" s="1"/>
  <c r="E45" i="1" s="1"/>
  <c r="X198" i="1"/>
  <c r="X197" i="1"/>
  <c r="X196" i="1"/>
  <c r="X195" i="1"/>
  <c r="D41" i="1" s="1"/>
  <c r="E41" i="1" s="1"/>
  <c r="X194" i="1"/>
  <c r="X193" i="1"/>
  <c r="X192" i="1"/>
  <c r="X191" i="1"/>
  <c r="D36" i="1" s="1"/>
  <c r="E36" i="1" s="1"/>
  <c r="X190" i="1"/>
  <c r="X189" i="1"/>
  <c r="X188" i="1"/>
  <c r="X187" i="1"/>
  <c r="D31" i="1" s="1"/>
  <c r="E31" i="1" s="1"/>
  <c r="X186" i="1"/>
  <c r="X185" i="1"/>
  <c r="X184" i="1"/>
  <c r="X183" i="1"/>
  <c r="D26" i="1" s="1"/>
  <c r="E26" i="1" s="1"/>
  <c r="X182" i="1"/>
  <c r="X181" i="1"/>
  <c r="X180" i="1"/>
  <c r="X179" i="1"/>
  <c r="D21" i="1" s="1"/>
  <c r="E21" i="1" s="1"/>
  <c r="X178" i="1"/>
  <c r="X177" i="1"/>
  <c r="X176" i="1"/>
  <c r="X175" i="1"/>
  <c r="D17" i="1" s="1"/>
  <c r="E17" i="1" s="1"/>
  <c r="X174" i="1"/>
  <c r="X173" i="1"/>
  <c r="X172" i="1"/>
  <c r="X171" i="1"/>
  <c r="D12" i="1" s="1"/>
  <c r="E12" i="1" s="1"/>
  <c r="X170" i="1"/>
  <c r="X169" i="1"/>
  <c r="X168" i="1"/>
  <c r="X167" i="1"/>
  <c r="D7" i="1" s="1"/>
  <c r="E7" i="1" s="1"/>
  <c r="X166" i="1"/>
  <c r="X165" i="1"/>
  <c r="M164" i="1"/>
  <c r="L164" i="1"/>
  <c r="K164" i="1"/>
  <c r="J164" i="1"/>
  <c r="I164" i="1"/>
  <c r="D158" i="1"/>
  <c r="E158" i="1" s="1"/>
  <c r="P11" i="10" l="1"/>
  <c r="P26" i="10" s="1"/>
  <c r="F55" i="7"/>
  <c r="F30" i="7"/>
  <c r="F32" i="7"/>
  <c r="F35" i="7"/>
  <c r="F39" i="7"/>
  <c r="F121" i="7"/>
  <c r="F123" i="7"/>
  <c r="F29" i="7"/>
  <c r="F33" i="7"/>
  <c r="F17" i="7"/>
  <c r="F122" i="7"/>
  <c r="F18" i="7"/>
  <c r="F20" i="7"/>
  <c r="F62" i="7"/>
  <c r="F21" i="7"/>
  <c r="F59" i="7"/>
  <c r="F63" i="7"/>
  <c r="F5" i="7"/>
  <c r="F9" i="7"/>
  <c r="F43" i="7"/>
  <c r="F48" i="7"/>
  <c r="F53" i="7"/>
  <c r="F6" i="7"/>
  <c r="F8" i="7"/>
  <c r="F44" i="7"/>
  <c r="F47" i="7"/>
  <c r="F49" i="7"/>
  <c r="F51" i="7"/>
  <c r="F36" i="7"/>
  <c r="F38" i="7"/>
  <c r="F41" i="7"/>
  <c r="F57" i="7"/>
  <c r="F60" i="7"/>
  <c r="F37" i="7"/>
  <c r="F45" i="7"/>
  <c r="F56" i="7"/>
  <c r="F120" i="7"/>
  <c r="F7" i="7"/>
  <c r="F19" i="7"/>
  <c r="F31" i="7"/>
  <c r="F42" i="7"/>
  <c r="F50" i="7"/>
  <c r="F61" i="7"/>
  <c r="F119" i="7"/>
  <c r="F30" i="6"/>
  <c r="F35" i="6"/>
  <c r="F8" i="6"/>
  <c r="F49" i="6"/>
  <c r="F68" i="6"/>
  <c r="F121" i="6"/>
  <c r="F17" i="6"/>
  <c r="F21" i="6"/>
  <c r="E5" i="2"/>
  <c r="F5" i="2" s="1"/>
  <c r="D50" i="4"/>
  <c r="E50" i="4" s="1"/>
  <c r="E34" i="2"/>
  <c r="D59" i="4"/>
  <c r="E59" i="4" s="1"/>
  <c r="E40" i="2"/>
  <c r="E64" i="2"/>
  <c r="F64" i="2" s="1"/>
  <c r="E38" i="2"/>
  <c r="F38" i="2" s="1"/>
  <c r="E49" i="2"/>
  <c r="F49" i="2" s="1"/>
  <c r="E58" i="2"/>
  <c r="F58" i="2" s="1"/>
  <c r="D41" i="4"/>
  <c r="E41" i="4" s="1"/>
  <c r="E44" i="2"/>
  <c r="F44" i="2" s="1"/>
  <c r="E19" i="2"/>
  <c r="F19" i="2" s="1"/>
  <c r="D45" i="4"/>
  <c r="E45" i="4" s="1"/>
  <c r="D65" i="4"/>
  <c r="E65" i="4" s="1"/>
  <c r="E41" i="2"/>
  <c r="F41" i="2" s="1"/>
  <c r="E48" i="2"/>
  <c r="F48" i="2" s="1"/>
  <c r="D42" i="4"/>
  <c r="E42" i="4" s="1"/>
  <c r="E49" i="5"/>
  <c r="E20" i="2"/>
  <c r="F20" i="2" s="1"/>
  <c r="E60" i="2"/>
  <c r="F60" i="2" s="1"/>
  <c r="E65" i="2"/>
  <c r="F65" i="2" s="1"/>
  <c r="D61" i="4"/>
  <c r="E61" i="4" s="1"/>
  <c r="E60" i="5"/>
  <c r="E8" i="2"/>
  <c r="F8" i="2" s="1"/>
  <c r="E29" i="2"/>
  <c r="F29" i="2" s="1"/>
  <c r="E55" i="2"/>
  <c r="F55" i="2" s="1"/>
  <c r="D54" i="4"/>
  <c r="E54" i="4" s="1"/>
  <c r="E31" i="5"/>
  <c r="E35" i="5"/>
  <c r="E53" i="2"/>
  <c r="F53" i="2" s="1"/>
  <c r="D30" i="4"/>
  <c r="E30" i="4" s="1"/>
  <c r="D56" i="4"/>
  <c r="E56" i="4" s="1"/>
  <c r="E30" i="5"/>
  <c r="E9" i="6"/>
  <c r="F9" i="6" s="1"/>
  <c r="F41" i="6"/>
  <c r="E122" i="2"/>
  <c r="F122" i="2" s="1"/>
  <c r="D123" i="4"/>
  <c r="E123" i="4" s="1"/>
  <c r="E17" i="2"/>
  <c r="F17" i="2" s="1"/>
  <c r="E36" i="2"/>
  <c r="F36" i="2" s="1"/>
  <c r="D37" i="4"/>
  <c r="E37" i="4" s="1"/>
  <c r="D44" i="4"/>
  <c r="E44" i="4" s="1"/>
  <c r="D68" i="4"/>
  <c r="E68" i="4" s="1"/>
  <c r="E68" i="5"/>
  <c r="E5" i="6"/>
  <c r="F5" i="6" s="1"/>
  <c r="E31" i="2"/>
  <c r="F31" i="2" s="1"/>
  <c r="E50" i="2"/>
  <c r="F50" i="2" s="1"/>
  <c r="E67" i="2"/>
  <c r="F67" i="2" s="1"/>
  <c r="E119" i="2"/>
  <c r="F119" i="2" s="1"/>
  <c r="F129" i="2"/>
  <c r="F153" i="2"/>
  <c r="D5" i="4"/>
  <c r="D39" i="4"/>
  <c r="E39" i="4" s="1"/>
  <c r="D55" i="4"/>
  <c r="E55" i="4" s="1"/>
  <c r="D119" i="4"/>
  <c r="E119" i="4" s="1"/>
  <c r="E8" i="5"/>
  <c r="E55" i="5"/>
  <c r="E59" i="5"/>
  <c r="E120" i="5"/>
  <c r="E50" i="6"/>
  <c r="F50" i="6" s="1"/>
  <c r="F60" i="6"/>
  <c r="E120" i="6"/>
  <c r="F120" i="6" s="1"/>
  <c r="E4" i="2"/>
  <c r="F4" i="2" s="1"/>
  <c r="E7" i="2"/>
  <c r="F7" i="2" s="1"/>
  <c r="F27" i="2"/>
  <c r="E35" i="2"/>
  <c r="F35" i="2" s="1"/>
  <c r="E43" i="2"/>
  <c r="F43" i="2" s="1"/>
  <c r="E46" i="2"/>
  <c r="E54" i="2"/>
  <c r="F54" i="2" s="1"/>
  <c r="E62" i="2"/>
  <c r="F62" i="2" s="1"/>
  <c r="F81" i="2"/>
  <c r="F105" i="2"/>
  <c r="F147" i="2"/>
  <c r="D6" i="4"/>
  <c r="E6" i="4" s="1"/>
  <c r="D20" i="4"/>
  <c r="E20" i="4" s="1"/>
  <c r="D35" i="4"/>
  <c r="E35" i="4" s="1"/>
  <c r="D49" i="4"/>
  <c r="E49" i="4" s="1"/>
  <c r="D63" i="4"/>
  <c r="E63" i="4" s="1"/>
  <c r="E82" i="4"/>
  <c r="E106" i="4"/>
  <c r="E36" i="5"/>
  <c r="E54" i="5"/>
  <c r="E119" i="5"/>
  <c r="F31" i="6"/>
  <c r="F83" i="2"/>
  <c r="F87" i="2" s="1"/>
  <c r="E87" i="2"/>
  <c r="F106" i="2"/>
  <c r="F111" i="2" s="1"/>
  <c r="E111" i="2"/>
  <c r="E132" i="4"/>
  <c r="E136" i="4" s="1"/>
  <c r="D136" i="4"/>
  <c r="E137" i="4"/>
  <c r="E142" i="4" s="1"/>
  <c r="D142" i="4"/>
  <c r="D33" i="4"/>
  <c r="E33" i="4" s="1"/>
  <c r="E32" i="2"/>
  <c r="F32" i="2" s="1"/>
  <c r="D53" i="4"/>
  <c r="E53" i="5"/>
  <c r="E52" i="2"/>
  <c r="F52" i="2" s="1"/>
  <c r="D67" i="4"/>
  <c r="E67" i="4" s="1"/>
  <c r="E67" i="6"/>
  <c r="F67" i="6" s="1"/>
  <c r="E66" i="2"/>
  <c r="F66" i="2" s="1"/>
  <c r="E67" i="5"/>
  <c r="E33" i="6"/>
  <c r="F33" i="6" s="1"/>
  <c r="E53" i="6"/>
  <c r="F53" i="6" s="1"/>
  <c r="F75" i="2"/>
  <c r="E93" i="2"/>
  <c r="F117" i="2"/>
  <c r="E36" i="4"/>
  <c r="E73" i="4"/>
  <c r="E76" i="4" s="1"/>
  <c r="D76" i="4"/>
  <c r="E83" i="4"/>
  <c r="E88" i="4" s="1"/>
  <c r="D88" i="4"/>
  <c r="E97" i="4"/>
  <c r="E100" i="4" s="1"/>
  <c r="D100" i="4"/>
  <c r="E107" i="4"/>
  <c r="E112" i="4" s="1"/>
  <c r="D112" i="4"/>
  <c r="D48" i="4"/>
  <c r="E48" i="4" s="1"/>
  <c r="E48" i="6"/>
  <c r="F48" i="6" s="1"/>
  <c r="E48" i="5"/>
  <c r="E47" i="2"/>
  <c r="F47" i="2" s="1"/>
  <c r="D62" i="4"/>
  <c r="E62" i="4" s="1"/>
  <c r="E62" i="5"/>
  <c r="E61" i="2"/>
  <c r="E62" i="6"/>
  <c r="F62" i="6" s="1"/>
  <c r="F99" i="2"/>
  <c r="E14" i="4"/>
  <c r="E16" i="4" s="1"/>
  <c r="D16" i="4"/>
  <c r="E24" i="4"/>
  <c r="E28" i="4" s="1"/>
  <c r="D28" i="4"/>
  <c r="E94" i="4"/>
  <c r="E118" i="4"/>
  <c r="E130" i="4"/>
  <c r="E154" i="4"/>
  <c r="D29" i="4"/>
  <c r="E29" i="6"/>
  <c r="F29" i="6" s="1"/>
  <c r="E29" i="5"/>
  <c r="E28" i="2"/>
  <c r="D43" i="4"/>
  <c r="E43" i="4" s="1"/>
  <c r="E42" i="2"/>
  <c r="D57" i="4"/>
  <c r="E57" i="4" s="1"/>
  <c r="E57" i="6"/>
  <c r="F57" i="6" s="1"/>
  <c r="E56" i="2"/>
  <c r="F56" i="2" s="1"/>
  <c r="E122" i="6"/>
  <c r="F122" i="6" s="1"/>
  <c r="E121" i="2"/>
  <c r="F121" i="2" s="1"/>
  <c r="E122" i="5"/>
  <c r="E43" i="6"/>
  <c r="F43" i="6" s="1"/>
  <c r="E146" i="4"/>
  <c r="E148" i="4" s="1"/>
  <c r="D148" i="4"/>
  <c r="E156" i="4"/>
  <c r="E160" i="4" s="1"/>
  <c r="D160" i="4"/>
  <c r="F10" i="2"/>
  <c r="F15" i="2" s="1"/>
  <c r="E15" i="2"/>
  <c r="F131" i="2"/>
  <c r="F135" i="2" s="1"/>
  <c r="E135" i="2"/>
  <c r="F136" i="2"/>
  <c r="F141" i="2" s="1"/>
  <c r="E141" i="2"/>
  <c r="F155" i="2"/>
  <c r="F159" i="2" s="1"/>
  <c r="E159" i="2"/>
  <c r="E6" i="2"/>
  <c r="E7" i="5"/>
  <c r="D7" i="4"/>
  <c r="E7" i="4" s="1"/>
  <c r="E7" i="6"/>
  <c r="F7" i="6" s="1"/>
  <c r="D38" i="4"/>
  <c r="E38" i="4" s="1"/>
  <c r="E38" i="6"/>
  <c r="F38" i="6" s="1"/>
  <c r="E38" i="5"/>
  <c r="E37" i="2"/>
  <c r="F37" i="2" s="1"/>
  <c r="E69" i="6"/>
  <c r="F69" i="6" s="1"/>
  <c r="D69" i="4"/>
  <c r="E69" i="4" s="1"/>
  <c r="E118" i="2"/>
  <c r="E117" i="2"/>
  <c r="E16" i="2"/>
  <c r="F16" i="2" s="1"/>
  <c r="E18" i="2"/>
  <c r="F18" i="2" s="1"/>
  <c r="D32" i="4"/>
  <c r="E32" i="4" s="1"/>
  <c r="D51" i="4"/>
  <c r="E51" i="4" s="1"/>
  <c r="F6" i="6"/>
  <c r="F36" i="6"/>
  <c r="F45" i="6"/>
  <c r="F55" i="6"/>
  <c r="E147" i="2"/>
  <c r="E99" i="2"/>
  <c r="E75" i="2"/>
  <c r="E27" i="2"/>
  <c r="D154" i="4"/>
  <c r="D130" i="4"/>
  <c r="D118" i="4"/>
  <c r="D106" i="4"/>
  <c r="D94" i="4"/>
  <c r="D82" i="4"/>
  <c r="D47" i="4"/>
  <c r="D121" i="4"/>
  <c r="E6" i="5"/>
  <c r="E32" i="5"/>
  <c r="E37" i="5"/>
  <c r="E47" i="5"/>
  <c r="E56" i="5"/>
  <c r="E61" i="5"/>
  <c r="E121" i="5"/>
  <c r="E65" i="6"/>
  <c r="F65" i="6" s="1"/>
  <c r="E153" i="2"/>
  <c r="E129" i="2"/>
  <c r="E105" i="2"/>
  <c r="E81" i="2"/>
  <c r="F30" i="2"/>
  <c r="F120" i="2"/>
  <c r="F34" i="2"/>
  <c r="F40" i="2"/>
  <c r="F59" i="2"/>
  <c r="F88" i="2"/>
  <c r="F93" i="2" s="1"/>
  <c r="D5" i="1"/>
  <c r="E5" i="1" s="1"/>
  <c r="D9" i="1"/>
  <c r="E9" i="1" s="1"/>
  <c r="D14" i="1"/>
  <c r="E14" i="1" s="1"/>
  <c r="D19" i="1"/>
  <c r="E19" i="1" s="1"/>
  <c r="D24" i="1"/>
  <c r="E24" i="1" s="1"/>
  <c r="D29" i="1"/>
  <c r="E29" i="1" s="1"/>
  <c r="D33" i="1"/>
  <c r="E33" i="1" s="1"/>
  <c r="D38" i="1"/>
  <c r="E38" i="1" s="1"/>
  <c r="D43" i="1"/>
  <c r="E43" i="1" s="1"/>
  <c r="D48" i="1"/>
  <c r="E48" i="1" s="1"/>
  <c r="D53" i="1"/>
  <c r="E53" i="1" s="1"/>
  <c r="D57" i="1"/>
  <c r="E57" i="1" s="1"/>
  <c r="D62" i="1"/>
  <c r="E62" i="1" s="1"/>
  <c r="D67" i="1"/>
  <c r="E67" i="1" s="1"/>
  <c r="D77" i="1"/>
  <c r="E77" i="1" s="1"/>
  <c r="D81" i="1"/>
  <c r="E81" i="1" s="1"/>
  <c r="D86" i="1"/>
  <c r="E86" i="1" s="1"/>
  <c r="D91" i="1"/>
  <c r="E91" i="1" s="1"/>
  <c r="D96" i="1"/>
  <c r="E96" i="1" s="1"/>
  <c r="D101" i="1"/>
  <c r="E101" i="1" s="1"/>
  <c r="D105" i="1"/>
  <c r="E105" i="1" s="1"/>
  <c r="D110" i="1"/>
  <c r="E110" i="1" s="1"/>
  <c r="D115" i="1"/>
  <c r="E115" i="1" s="1"/>
  <c r="D120" i="1"/>
  <c r="E120" i="1" s="1"/>
  <c r="D125" i="1"/>
  <c r="E125" i="1" s="1"/>
  <c r="D129" i="1"/>
  <c r="E129" i="1" s="1"/>
  <c r="D134" i="1"/>
  <c r="E134" i="1" s="1"/>
  <c r="D139" i="1"/>
  <c r="E139" i="1" s="1"/>
  <c r="D144" i="1"/>
  <c r="E144" i="1" s="1"/>
  <c r="D149" i="1"/>
  <c r="E149" i="1" s="1"/>
  <c r="D153" i="1"/>
  <c r="E153" i="1" s="1"/>
  <c r="D72" i="1"/>
  <c r="E72" i="1" s="1"/>
  <c r="D18" i="1"/>
  <c r="E18" i="1" s="1"/>
  <c r="D56" i="1"/>
  <c r="E56" i="1" s="1"/>
  <c r="D85" i="1"/>
  <c r="E85" i="1" s="1"/>
  <c r="D152" i="1"/>
  <c r="E152" i="1" s="1"/>
  <c r="D6" i="1"/>
  <c r="E6" i="1" s="1"/>
  <c r="D11" i="1"/>
  <c r="E11" i="1" s="1"/>
  <c r="D15" i="1"/>
  <c r="E15" i="1" s="1"/>
  <c r="D20" i="1"/>
  <c r="E20" i="1" s="1"/>
  <c r="D25" i="1"/>
  <c r="E25" i="1" s="1"/>
  <c r="D30" i="1"/>
  <c r="E30" i="1" s="1"/>
  <c r="D35" i="1"/>
  <c r="E35" i="1" s="1"/>
  <c r="D39" i="1"/>
  <c r="E39" i="1" s="1"/>
  <c r="D44" i="1"/>
  <c r="E44" i="1" s="1"/>
  <c r="D49" i="1"/>
  <c r="E49" i="1" s="1"/>
  <c r="D54" i="1"/>
  <c r="E54" i="1" s="1"/>
  <c r="D59" i="1"/>
  <c r="E59" i="1" s="1"/>
  <c r="D63" i="1"/>
  <c r="E63" i="1" s="1"/>
  <c r="D68" i="1"/>
  <c r="E68" i="1" s="1"/>
  <c r="D73" i="1"/>
  <c r="E73" i="1" s="1"/>
  <c r="D78" i="1"/>
  <c r="E78" i="1" s="1"/>
  <c r="D83" i="1"/>
  <c r="E83" i="1" s="1"/>
  <c r="D87" i="1"/>
  <c r="E87" i="1" s="1"/>
  <c r="D92" i="1"/>
  <c r="E92" i="1" s="1"/>
  <c r="D97" i="1"/>
  <c r="E97" i="1" s="1"/>
  <c r="D102" i="1"/>
  <c r="E102" i="1" s="1"/>
  <c r="D107" i="1"/>
  <c r="E107" i="1" s="1"/>
  <c r="D111" i="1"/>
  <c r="E111" i="1" s="1"/>
  <c r="D116" i="1"/>
  <c r="E116" i="1" s="1"/>
  <c r="D121" i="1"/>
  <c r="E121" i="1" s="1"/>
  <c r="D126" i="1"/>
  <c r="E126" i="1" s="1"/>
  <c r="D131" i="1"/>
  <c r="E131" i="1" s="1"/>
  <c r="D135" i="1"/>
  <c r="E135" i="1" s="1"/>
  <c r="D140" i="1"/>
  <c r="E140" i="1" s="1"/>
  <c r="D145" i="1"/>
  <c r="E145" i="1" s="1"/>
  <c r="D150" i="1"/>
  <c r="E150" i="1" s="1"/>
  <c r="D155" i="1"/>
  <c r="E155" i="1" s="1"/>
  <c r="D159" i="1"/>
  <c r="E159" i="1" s="1"/>
  <c r="D8" i="1"/>
  <c r="E8" i="1" s="1"/>
  <c r="D27" i="1"/>
  <c r="E27" i="1" s="1"/>
  <c r="D47" i="1"/>
  <c r="E47" i="1" s="1"/>
  <c r="D66" i="1"/>
  <c r="E66" i="1" s="1"/>
  <c r="D75" i="1"/>
  <c r="E75" i="1" s="1"/>
  <c r="D95" i="1"/>
  <c r="E95" i="1" s="1"/>
  <c r="D104" i="1"/>
  <c r="E104" i="1" s="1"/>
  <c r="D114" i="1"/>
  <c r="E114" i="1" s="1"/>
  <c r="D123" i="1"/>
  <c r="E123" i="1" s="1"/>
  <c r="D133" i="1"/>
  <c r="E133" i="1" s="1"/>
  <c r="D143" i="1"/>
  <c r="E143" i="1" s="1"/>
  <c r="D13" i="1"/>
  <c r="E13" i="1" s="1"/>
  <c r="D23" i="1"/>
  <c r="E23" i="1" s="1"/>
  <c r="D32" i="1"/>
  <c r="E32" i="1" s="1"/>
  <c r="D37" i="1"/>
  <c r="E37" i="1" s="1"/>
  <c r="D42" i="1"/>
  <c r="E42" i="1" s="1"/>
  <c r="D138" i="1"/>
  <c r="E138" i="1" s="1"/>
  <c r="D147" i="1"/>
  <c r="E147" i="1" s="1"/>
  <c r="D51" i="1"/>
  <c r="E51" i="1" s="1"/>
  <c r="D61" i="1"/>
  <c r="E61" i="1" s="1"/>
  <c r="D71" i="1"/>
  <c r="E71" i="1" s="1"/>
  <c r="D80" i="1"/>
  <c r="E80" i="1" s="1"/>
  <c r="D90" i="1"/>
  <c r="E90" i="1" s="1"/>
  <c r="D99" i="1"/>
  <c r="E99" i="1" s="1"/>
  <c r="D109" i="1"/>
  <c r="E109" i="1" s="1"/>
  <c r="D119" i="1"/>
  <c r="E119" i="1" s="1"/>
  <c r="D128" i="1"/>
  <c r="E128" i="1" s="1"/>
  <c r="D157" i="1"/>
  <c r="E157" i="1" s="1"/>
  <c r="F32" i="6"/>
  <c r="F42" i="6"/>
  <c r="F51" i="6"/>
  <c r="F61" i="6"/>
  <c r="F119" i="6"/>
  <c r="F37" i="6"/>
  <c r="F47" i="6"/>
  <c r="F56" i="6"/>
  <c r="F123" i="6"/>
  <c r="E20" i="6"/>
  <c r="F20" i="6" s="1"/>
  <c r="D17" i="4"/>
  <c r="D21" i="4"/>
  <c r="E21" i="4" s="1"/>
  <c r="E19" i="6"/>
  <c r="F19" i="6" s="1"/>
  <c r="E66" i="6"/>
  <c r="F66" i="6" s="1"/>
  <c r="D18" i="4"/>
  <c r="E18" i="4" s="1"/>
  <c r="D66" i="4"/>
  <c r="E66" i="4" s="1"/>
  <c r="E18" i="6"/>
  <c r="F18" i="6" s="1"/>
  <c r="D19" i="4"/>
  <c r="E19" i="4" s="1"/>
  <c r="E17" i="5"/>
  <c r="E45" i="2" l="1"/>
  <c r="E63" i="2"/>
  <c r="E64" i="4"/>
  <c r="E46" i="4"/>
  <c r="F42" i="2"/>
  <c r="F45" i="2" s="1"/>
  <c r="E51" i="2"/>
  <c r="D10" i="4"/>
  <c r="F61" i="2"/>
  <c r="F63" i="2" s="1"/>
  <c r="E40" i="4"/>
  <c r="E9" i="2"/>
  <c r="E70" i="4"/>
  <c r="E39" i="2"/>
  <c r="E33" i="2"/>
  <c r="D46" i="4"/>
  <c r="E5" i="4"/>
  <c r="E10" i="4" s="1"/>
  <c r="F28" i="2"/>
  <c r="F33" i="2" s="1"/>
  <c r="F46" i="2"/>
  <c r="F6" i="2"/>
  <c r="F69" i="2"/>
  <c r="E121" i="4"/>
  <c r="E124" i="4" s="1"/>
  <c r="D124" i="4"/>
  <c r="E47" i="4"/>
  <c r="E52" i="4" s="1"/>
  <c r="D52" i="4"/>
  <c r="E123" i="2"/>
  <c r="D40" i="4"/>
  <c r="E53" i="4"/>
  <c r="E58" i="4" s="1"/>
  <c r="D58" i="4"/>
  <c r="E17" i="4"/>
  <c r="E22" i="4" s="1"/>
  <c r="D22" i="4"/>
  <c r="F39" i="2"/>
  <c r="F118" i="2"/>
  <c r="F123" i="2" s="1"/>
  <c r="D64" i="4"/>
  <c r="E29" i="4"/>
  <c r="E34" i="4" s="1"/>
  <c r="D34" i="4"/>
  <c r="F21" i="2"/>
  <c r="F57" i="2"/>
  <c r="F51" i="2"/>
  <c r="D70" i="4"/>
  <c r="E21" i="2"/>
  <c r="E69" i="2"/>
  <c r="E57" i="2"/>
  <c r="F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2" authorId="0" shapeId="0" xr:uid="{00000000-0006-0000-0000-000001000000}">
      <text>
        <r>
          <rPr>
            <sz val="10"/>
            <color rgb="FF000000"/>
            <rFont val="Arial"/>
            <scheme val="minor"/>
          </rPr>
          <t>Sebagai keterangan bahwa nomor di catatan (word) bahwa 
101-x=Standart Universal, 201-x=Ekonomi</t>
        </r>
      </text>
    </comment>
    <comment ref="G3" authorId="0" shapeId="0" xr:uid="{00000000-0006-0000-0000-000002000000}">
      <text>
        <r>
          <rPr>
            <sz val="10"/>
            <color rgb="FF000000"/>
            <rFont val="Arial"/>
            <scheme val="minor"/>
          </rPr>
          <t>Perbedaan dengan GRI sebelumnya yaitu pada indikator SU (Standart Universal) yang bertambah dan beberapa poin di ekonomi yang dihapuskan 
[Note: info tersebut didapatkan dari google, mohon dikonfirmasi sendiri apakah info tersebut benar atau tidak, kalau pengungkapan dibawah ini sudah sesuai dengan standart 2021]</t>
        </r>
      </text>
    </comment>
    <comment ref="H4" authorId="0" shapeId="0" xr:uid="{00000000-0006-0000-0000-000003000000}">
      <text>
        <r>
          <rPr>
            <sz val="10"/>
            <color rgb="FF000000"/>
            <rFont val="Arial"/>
            <scheme val="minor"/>
          </rPr>
          <t>Standart Universal
GRI 1: Foundation
GRI 2: General Disclosures
GRI 3: Material Topics</t>
        </r>
      </text>
    </comment>
    <comment ref="J4" authorId="0" shapeId="0" xr:uid="{00000000-0006-0000-0000-000004000000}">
      <text>
        <r>
          <rPr>
            <sz val="10"/>
            <color rgb="FF000000"/>
            <rFont val="Arial"/>
            <scheme val="minor"/>
          </rPr>
          <t>Ekonomi
GRI 201: Economic Performance
GRI 202: Market Presence
GRI 203: Indirect Economic Impacts
GRI 204: Procurement Practices
GRI 205: Anti-corruption
GRI 206: Anti-competitive Behavior
GRI 207: Tax</t>
        </r>
      </text>
    </comment>
    <comment ref="O4" authorId="0" shapeId="0" xr:uid="{00000000-0006-0000-0000-000005000000}">
      <text>
        <r>
          <rPr>
            <sz val="10"/>
            <color rgb="FF000000"/>
            <rFont val="Arial"/>
            <scheme val="minor"/>
          </rPr>
          <t>Abaikan saja, cuma untuk menghitung jumlah pengungkapan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400-000001000000}">
      <text>
        <r>
          <rPr>
            <sz val="10"/>
            <color rgb="FF000000"/>
            <rFont val="Arial"/>
            <scheme val="minor"/>
          </rPr>
          <t>Total aset tahun sebelumnya jadi total aset awal tahun. Misal 2018, maka mengambil total aset tahun 2017 untuk total aset awal tahun</t>
        </r>
      </text>
    </comment>
    <comment ref="H3" authorId="0" shapeId="0" xr:uid="{00000000-0006-0000-0400-000002000000}">
      <text>
        <r>
          <rPr>
            <sz val="10"/>
            <color rgb="FF000000"/>
            <rFont val="Arial"/>
            <scheme val="minor"/>
          </rPr>
          <t>Rumus: Laba bersih/((total aset awal + akhir)/2))</t>
        </r>
      </text>
    </comment>
    <comment ref="J3" authorId="0" shapeId="0" xr:uid="{00000000-0006-0000-0400-000003000000}">
      <text>
        <r>
          <rPr>
            <sz val="10"/>
            <color rgb="FF000000"/>
            <rFont val="Arial"/>
            <scheme val="minor"/>
          </rPr>
          <t>Kurs pada tanggal 31 Desember setiap tahunnya, apabila dikali dengan kurs maka laporan keuangan perusahaan itu dilaporkan dalam Dollar USD 
[Note: semua angka pada tabulasi menggunakan IDR]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I3" authorId="0" shapeId="0" xr:uid="{00000000-0006-0000-0500-000001000000}">
      <text>
        <r>
          <rPr>
            <sz val="10"/>
            <color rgb="FF000000"/>
            <rFont val="Arial"/>
            <scheme val="minor"/>
          </rPr>
          <t>Kurs pada tanggal 31 Desember setiap tahunnya, apabila dikali dengan kurs maka laporan keuangan perusahaan itu dilaporkan dalam Dollar USD 
[Note: semua angka pada tabulasi menggunakan IDR]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H3" authorId="0" shapeId="0" xr:uid="{00000000-0006-0000-0600-000001000000}">
      <text>
        <r>
          <rPr>
            <sz val="10"/>
            <color rgb="FF000000"/>
            <rFont val="Arial"/>
            <scheme val="minor"/>
          </rPr>
          <t>Kurs pada tanggal 31 Desember setiap tahunnya, apabila dikali dengan kurs maka laporan keuangan perusahaan itu dilaporkan dalam Dollar USD 
[Note: semua angka pada tabulasi menggunakan IDR]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100-000001000000}">
      <text>
        <r>
          <rPr>
            <sz val="10"/>
            <color rgb="FF000000"/>
            <rFont val="Arial"/>
            <scheme val="minor"/>
          </rPr>
          <t>Cara mencari dilaporan tahunan, keyword: contoh -&gt; "biaya penelitian dan pengembangan, biaya pengembangan, research and development cost, organization/community development dan lainnya"
[note: setiap perusahaan berbeda - beda akunnya, tetapi pasti menjadi beban usaha, beberapa perusahaan mengungkapkan di laporan tahunan tapi pada CALK tidak dijabarkan dan digabung menjadi beban lain - lain. Ada beberapa perusahaan yang tidak menjabarkan sama sekali dan dijadikan satu pada beban lain - lain, pada laporan tahunan hanya menjabarkan projek pengembangan apa saja yang telah dilakukan pada tahun tersebut]</t>
        </r>
      </text>
    </comment>
    <comment ref="E3" authorId="0" shapeId="0" xr:uid="{00000000-0006-0000-0100-000002000000}">
      <text>
        <r>
          <rPr>
            <sz val="10"/>
            <color rgb="FF000000"/>
            <rFont val="Arial"/>
            <scheme val="minor"/>
          </rPr>
          <t>Total aset perusahaan dapat ditemukan dineraca perusahaan</t>
        </r>
      </text>
    </comment>
    <comment ref="F3" authorId="0" shapeId="0" xr:uid="{00000000-0006-0000-0100-000003000000}">
      <text>
        <r>
          <rPr>
            <sz val="10"/>
            <color rgb="FF000000"/>
            <rFont val="Arial"/>
            <scheme val="minor"/>
          </rPr>
          <t>Rumus 
Biaya Penelitian dan Pengembangan (RnD)/Total Aset</t>
        </r>
      </text>
    </comment>
    <comment ref="H3" authorId="0" shapeId="0" xr:uid="{00000000-0006-0000-0100-000004000000}">
      <text>
        <r>
          <rPr>
            <sz val="10"/>
            <color rgb="FF000000"/>
            <rFont val="Arial"/>
            <scheme val="minor"/>
          </rPr>
          <t>Kurs pada tanggal 31 Desember setiap tahunnya, apabila dikali dengan kurs maka laporan keuangan perusahaan itu dilaporkan dalam Dollar USD 
[Note: semua angka pada tabulasi menggunakan IDR]</t>
        </r>
      </text>
    </comment>
    <comment ref="B4" authorId="0" shapeId="0" xr:uid="{00000000-0006-0000-0100-000005000000}">
      <text>
        <r>
          <rPr>
            <sz val="10"/>
            <color rgb="FF000000"/>
            <rFont val="Arial"/>
            <scheme val="minor"/>
          </rPr>
          <t>Untuk biaya pengembangan 2022 ada di bagian beban penjualan, umum dan administrasi bagian informasi dan teknologi (karena pada tahun sebelumnya dijelaskan bahwa biaya pengembangan dilakukan untuk pengembangan teknologi)</t>
        </r>
      </text>
    </comment>
    <comment ref="B10" authorId="0" shapeId="0" xr:uid="{00000000-0006-0000-0100-000006000000}">
      <text>
        <r>
          <rPr>
            <sz val="10"/>
            <color rgb="FF000000"/>
            <rFont val="Arial"/>
            <scheme val="minor"/>
          </rPr>
          <t>Biaya pengembangan pada AKRA dapat ditemukan pada laporan tahunan</t>
        </r>
      </text>
    </comment>
    <comment ref="B16" authorId="0" shapeId="0" xr:uid="{00000000-0006-0000-0100-000007000000}">
      <text>
        <r>
          <rPr>
            <sz val="10"/>
            <color rgb="FF000000"/>
            <rFont val="Arial"/>
            <scheme val="minor"/>
          </rPr>
          <t>pada 2022 biaya development BUMI diisi sebagai - pada CALK</t>
        </r>
      </text>
    </comment>
    <comment ref="B22" authorId="0" shapeId="0" xr:uid="{00000000-0006-0000-0100-000008000000}">
      <text>
        <r>
          <rPr>
            <sz val="10"/>
            <color rgb="FF000000"/>
            <rFont val="Arial"/>
            <scheme val="minor"/>
          </rPr>
          <t>Biaya pengembangan pada ELSA dapat ditemukan pada laporan tahunan</t>
        </r>
      </text>
    </comment>
    <comment ref="B28" authorId="0" shapeId="0" xr:uid="{00000000-0006-0000-0100-000009000000}">
      <text>
        <r>
          <rPr>
            <sz val="10"/>
            <color rgb="FF000000"/>
            <rFont val="Arial"/>
            <scheme val="minor"/>
          </rPr>
          <t>Biaya pengembangan pada PTRO dapat ditemukan pada laporan tahunan</t>
        </r>
      </text>
    </comment>
    <comment ref="B34" authorId="0" shapeId="0" xr:uid="{00000000-0006-0000-0100-00000A000000}">
      <text>
        <r>
          <rPr>
            <sz val="10"/>
            <color rgb="FF000000"/>
            <rFont val="Arial"/>
            <scheme val="minor"/>
          </rPr>
          <t>Biaya pengembangan pada ITMG dapat ditemukan pada laporan tahunan</t>
        </r>
      </text>
    </comment>
    <comment ref="B40" authorId="0" shapeId="0" xr:uid="{00000000-0006-0000-0100-00000B000000}">
      <text>
        <r>
          <rPr>
            <sz val="10"/>
            <color rgb="FF000000"/>
            <rFont val="Arial"/>
            <scheme val="minor"/>
          </rPr>
          <t>Karena pada laporan tahunan MBSS tidak dijabarkan berapa biaya RnD yang dikeluarkan maka kami mengambil BEBAN UMUM DAN ADMINISTRASI pada bagian lain - lain (Pengembangan yang dilakukan perusahaan ini adalah pengembangan kompetensi SDM dan lain - lain)</t>
        </r>
      </text>
    </comment>
    <comment ref="B46" authorId="0" shapeId="0" xr:uid="{00000000-0006-0000-0100-00000C000000}">
      <text>
        <r>
          <rPr>
            <sz val="10"/>
            <color rgb="FF000000"/>
            <rFont val="Arial"/>
            <scheme val="minor"/>
          </rPr>
          <t>Karena pada laporan tahunan MBSS tidak dijabarkan berapa biaya RnD yang dikeluarkan maka kami mengambil BEBAN UMUM DAN ADMINISTRASI pada bagian pendidikan 
(Pengembangan yang dilakukan perusahaan ini adalah pengembangan kompetensi SDM Pengembangan Sosial dan
Lingkungan Hidup, serta Pemberdayaan
Masyarakat Lokal.)</t>
        </r>
      </text>
    </comment>
    <comment ref="B52" authorId="0" shapeId="0" xr:uid="{00000000-0006-0000-0100-00000D000000}">
      <text>
        <r>
          <rPr>
            <sz val="10"/>
            <color rgb="FF000000"/>
            <rFont val="Arial"/>
            <scheme val="minor"/>
          </rPr>
          <t>Nilai tersebut dapat ditemukan pada beban umum dan administrasi pada bagian "education and training" (karena perusahaan melakukan pengembangan kompetensi sumber daya manusia)</t>
        </r>
      </text>
    </comment>
    <comment ref="B58" authorId="0" shapeId="0" xr:uid="{00000000-0006-0000-0100-00000E000000}">
      <text>
        <r>
          <rPr>
            <sz val="10"/>
            <color rgb="FF000000"/>
            <rFont val="Arial"/>
            <scheme val="minor"/>
          </rPr>
          <t>Karena pada laporan tahunan PSSI tidak dijabarkan berapa biaya RnD yang dikeluarkan maka kami mengambil beban operasi pada bagian lain - lain (Pengembangan yang dilakukan perusahaan ini adalah pengembangan kompetensi SDM dan lain - lain)</t>
        </r>
      </text>
    </comment>
    <comment ref="B64" authorId="0" shapeId="0" xr:uid="{00000000-0006-0000-0100-00000F000000}">
      <text>
        <r>
          <rPr>
            <sz val="10"/>
            <color rgb="FF000000"/>
            <rFont val="Arial"/>
            <scheme val="minor"/>
          </rPr>
          <t>Biaya pengembangan pada ELSA dapat ditemukan pada laporan tahunan</t>
        </r>
      </text>
    </comment>
    <comment ref="B70" authorId="0" shapeId="0" xr:uid="{00000000-0006-0000-0100-000010000000}">
      <text>
        <r>
          <rPr>
            <sz val="10"/>
            <color rgb="FF000000"/>
            <rFont val="Arial"/>
            <scheme val="minor"/>
          </rPr>
          <t>Karena pada laporan tahunan ASII tidak dijabarkan berapa biaya RnD yang dikeluarkan maka kami mengambil BEBAN UMUM DAN ADMINISTRASI pada bagian lain - lain (Pengembangan yang dilakukan perusahaan ini adalah pengembangan kompetensi SDM dan lain - lain)</t>
        </r>
      </text>
    </comment>
    <comment ref="B76" authorId="0" shapeId="0" xr:uid="{00000000-0006-0000-0100-000011000000}">
      <text>
        <r>
          <rPr>
            <sz val="10"/>
            <color rgb="FF000000"/>
            <rFont val="Arial"/>
            <scheme val="minor"/>
          </rPr>
          <t xml:space="preserve">Biaya RnD pada UNTR diambil dari CALK beban pelatihan dan rekrutmen karena pengembangan yang dijabarkan pada laporan tahunan adalah salah satunya pengembangan SDM dan pengembangan lainnya tidak disebutkan nominalnya </t>
        </r>
      </text>
    </comment>
    <comment ref="B82" authorId="0" shapeId="0" xr:uid="{00000000-0006-0000-0100-000012000000}">
      <text>
        <r>
          <rPr>
            <sz val="10"/>
            <color rgb="FF000000"/>
            <rFont val="Arial"/>
            <scheme val="minor"/>
          </rPr>
          <t>Karena pada laporan tahunan EXCL tidak dijabarkan berapa biaya RnD yang dikeluarkan maka kami mengambil BEBAN UMUM DAN ADMINISTRASI pada bagian lain - lain 
(Pengembangan yang dilakukan perusahaan ini adalah pengembangan kompetensi SDM dan lain - lain)</t>
        </r>
      </text>
    </comment>
    <comment ref="B88" authorId="0" shapeId="0" xr:uid="{00000000-0006-0000-0100-000013000000}">
      <text>
        <r>
          <rPr>
            <sz val="10"/>
            <color rgb="FF000000"/>
            <rFont val="Arial"/>
            <scheme val="minor"/>
          </rPr>
          <t>Biaya pengembangan pada JSMR dapat ditemukan pada laporan tahunan</t>
        </r>
      </text>
    </comment>
    <comment ref="B94" authorId="0" shapeId="0" xr:uid="{00000000-0006-0000-0100-000014000000}">
      <text>
        <r>
          <rPr>
            <sz val="10"/>
            <color rgb="FF000000"/>
            <rFont val="Arial"/>
            <scheme val="minor"/>
          </rPr>
          <t>pada 2020-2022, PTPP tidak menjabarkan biaya research dan development mereka. Kami ambil dari biaya lain lain -&gt; biaya rupa rupa.</t>
        </r>
      </text>
    </comment>
    <comment ref="B100" authorId="0" shapeId="0" xr:uid="{00000000-0006-0000-0100-000015000000}">
      <text>
        <r>
          <rPr>
            <sz val="10"/>
            <color rgb="FF000000"/>
            <rFont val="Arial"/>
            <scheme val="minor"/>
          </rPr>
          <t>Biaya pengembangan pada AALI dapat ditemukan pada CALK dengan akun Research and Development</t>
        </r>
      </text>
    </comment>
    <comment ref="B106" authorId="0" shapeId="0" xr:uid="{00000000-0006-0000-0100-000016000000}">
      <text>
        <r>
          <rPr>
            <sz val="10"/>
            <color rgb="FF000000"/>
            <rFont val="Arial"/>
            <scheme val="minor"/>
          </rPr>
          <t>Biaya pengembangan pada WIKA dapat ditemukan pada laporan tahunan</t>
        </r>
      </text>
    </comment>
    <comment ref="B112" authorId="0" shapeId="0" xr:uid="{00000000-0006-0000-0100-000017000000}">
      <text>
        <r>
          <rPr>
            <sz val="10"/>
            <color rgb="FF000000"/>
            <rFont val="Arial"/>
            <scheme val="minor"/>
          </rPr>
          <t>Karena pada laporan tahunan WSKT tidak dijabarkan berapa biaya RnD yang dikeluarkan maka kami mengambil BEBAN UMUM DAN ADMINISTRASI pada bagian lain - lain 
(Pengembangan yang dilakukan perusahaan ini adalah pengembangan kompetensi SDM dan lain - lain)</t>
        </r>
      </text>
    </comment>
    <comment ref="B118" authorId="0" shapeId="0" xr:uid="{00000000-0006-0000-0100-000018000000}">
      <text>
        <r>
          <rPr>
            <sz val="10"/>
            <color rgb="FF000000"/>
            <rFont val="Arial"/>
            <scheme val="minor"/>
          </rPr>
          <t>Biaya pengembangan pada INTP dapat ditemukan pada CALK dengan akun pengembangan masyarakat</t>
        </r>
      </text>
    </comment>
    <comment ref="B124" authorId="0" shapeId="0" xr:uid="{00000000-0006-0000-0100-000019000000}">
      <text>
        <r>
          <rPr>
            <sz val="10"/>
            <color rgb="FF000000"/>
            <rFont val="Arial"/>
            <scheme val="minor"/>
          </rPr>
          <t>Biaya pengembangan pada INTP dapat ditemukan pada CALK dengan akun pengujian dan penelitian</t>
        </r>
      </text>
    </comment>
    <comment ref="B130" authorId="0" shapeId="0" xr:uid="{00000000-0006-0000-0100-00001A000000}">
      <text>
        <r>
          <rPr>
            <sz val="10"/>
            <color rgb="FF000000"/>
            <rFont val="Arial"/>
            <scheme val="minor"/>
          </rPr>
          <t>Biaya pengembangan pada SMCB dapat ditemukan pada CALK dengan akun Pendidikan, Pelatihan dan Pengembangan</t>
        </r>
      </text>
    </comment>
    <comment ref="B136" authorId="0" shapeId="0" xr:uid="{00000000-0006-0000-0100-00001B000000}">
      <text>
        <r>
          <rPr>
            <sz val="10"/>
            <color rgb="FF000000"/>
            <rFont val="Arial"/>
            <scheme val="minor"/>
          </rPr>
          <t>Biaya pengembangan pada TINS  dapat ditemukan pada laporan tahunan</t>
        </r>
      </text>
    </comment>
    <comment ref="B142" authorId="0" shapeId="0" xr:uid="{00000000-0006-0000-0100-00001C000000}">
      <text>
        <r>
          <rPr>
            <sz val="10"/>
            <color rgb="FF000000"/>
            <rFont val="Arial"/>
            <scheme val="minor"/>
          </rPr>
          <t>Biaya pengembangan pada TINS  dapat ditemukan pada laporan tahunan</t>
        </r>
      </text>
    </comment>
    <comment ref="B148" authorId="0" shapeId="0" xr:uid="{00000000-0006-0000-0100-00001D000000}">
      <text>
        <r>
          <rPr>
            <sz val="10"/>
            <color rgb="FF000000"/>
            <rFont val="Arial"/>
            <scheme val="minor"/>
          </rPr>
          <t>Biaya pengembangan pada WSBP dapat ditemukan pada laporan tahunan</t>
        </r>
      </text>
    </comment>
    <comment ref="B154" authorId="0" shapeId="0" xr:uid="{00000000-0006-0000-0100-00001E000000}">
      <text>
        <r>
          <rPr>
            <sz val="10"/>
            <color rgb="FF000000"/>
            <rFont val="Arial"/>
            <scheme val="minor"/>
          </rPr>
          <t>Biaya pengembangan pada WTON dapat ditemukan pada CALK dengan akun Research and Development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200-000001000000}">
      <text>
        <r>
          <rPr>
            <sz val="10"/>
            <color rgb="FF000000"/>
            <rFont val="Arial"/>
            <scheme val="minor"/>
          </rPr>
          <t>Cara mencari dilaporan tahunan, keyword: "Komite Audit" lalu cari informasi sesuai indikator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E2" authorId="0" shapeId="0" xr:uid="{0EFB545F-CCFB-451E-BB6F-8022366A09F7}">
      <text>
        <r>
          <rPr>
            <sz val="10"/>
            <color rgb="FF000000"/>
            <rFont val="Arial"/>
            <scheme val="minor"/>
          </rPr>
          <t>Cara mencari dilaporan tahunan, keyword: "Komite Audit" lalu cari informasi sesuai indikator</t>
        </r>
      </text>
    </comment>
    <comment ref="L2" authorId="0" shapeId="0" xr:uid="{22169AF3-145C-4C7C-9C22-B2165F8ADAFC}">
      <text>
        <r>
          <rPr>
            <sz val="10"/>
            <color rgb="FF000000"/>
            <rFont val="Arial"/>
            <scheme val="minor"/>
          </rPr>
          <t>Cara mencari dilaporan tahunan, keyword: "Komite Audit" lalu cari informasi sesuai indikator</t>
        </r>
      </text>
    </comment>
  </commentList>
</comments>
</file>

<file path=xl/sharedStrings.xml><?xml version="1.0" encoding="utf-8"?>
<sst xmlns="http://schemas.openxmlformats.org/spreadsheetml/2006/main" count="1340" uniqueCount="295">
  <si>
    <t>Total pengungkapan = 147</t>
  </si>
  <si>
    <t>SU=1</t>
  </si>
  <si>
    <t>E=2</t>
  </si>
  <si>
    <t>L=3</t>
  </si>
  <si>
    <t>S=4</t>
  </si>
  <si>
    <t>Catatan</t>
  </si>
  <si>
    <t>Keterangan</t>
  </si>
  <si>
    <t>Tahun</t>
  </si>
  <si>
    <t>Total</t>
  </si>
  <si>
    <t>CSR</t>
  </si>
  <si>
    <t>SU1-1</t>
  </si>
  <si>
    <t>STANDART UNIVERSAL</t>
  </si>
  <si>
    <t>E1-1</t>
  </si>
  <si>
    <t>EKONOMI</t>
  </si>
  <si>
    <t>L1-1</t>
  </si>
  <si>
    <t>LINGKUNGAN</t>
  </si>
  <si>
    <t>S1-1</t>
  </si>
  <si>
    <t>SOSIAL</t>
  </si>
  <si>
    <t>ABMM</t>
  </si>
  <si>
    <t>SU2-1</t>
  </si>
  <si>
    <t>E1-2</t>
  </si>
  <si>
    <t>L1-2</t>
  </si>
  <si>
    <t>S1-2</t>
  </si>
  <si>
    <t>SU2-2</t>
  </si>
  <si>
    <t>E1-3</t>
  </si>
  <si>
    <t>L1-3</t>
  </si>
  <si>
    <t>S1-3</t>
  </si>
  <si>
    <t>SU2-3</t>
  </si>
  <si>
    <t>E1-4</t>
  </si>
  <si>
    <t>L2-1</t>
  </si>
  <si>
    <t>S2-1</t>
  </si>
  <si>
    <t>SU2-4</t>
  </si>
  <si>
    <t>E2-1</t>
  </si>
  <si>
    <t>L2-2</t>
  </si>
  <si>
    <t>S3-1</t>
  </si>
  <si>
    <t>SU2-5</t>
  </si>
  <si>
    <t>E2-2</t>
  </si>
  <si>
    <t>L2-3</t>
  </si>
  <si>
    <t>S3-2</t>
  </si>
  <si>
    <t>AKRA</t>
  </si>
  <si>
    <t>SU2-6</t>
  </si>
  <si>
    <t>E3-1</t>
  </si>
  <si>
    <t>L2-4</t>
  </si>
  <si>
    <t>S3-3</t>
  </si>
  <si>
    <t>SU2-7</t>
  </si>
  <si>
    <t>E3-2</t>
  </si>
  <si>
    <t>L2-5</t>
  </si>
  <si>
    <t>S3-4</t>
  </si>
  <si>
    <t>SU2-8</t>
  </si>
  <si>
    <t>E4-1</t>
  </si>
  <si>
    <t>L3-1</t>
  </si>
  <si>
    <t>S3-5</t>
  </si>
  <si>
    <t>SU2-9</t>
  </si>
  <si>
    <t>E5-1</t>
  </si>
  <si>
    <t>L3-2</t>
  </si>
  <si>
    <t>S3-6</t>
  </si>
  <si>
    <t>SU2-10</t>
  </si>
  <si>
    <t>E5-2</t>
  </si>
  <si>
    <t>L3-3</t>
  </si>
  <si>
    <t>S3-7</t>
  </si>
  <si>
    <t>BUMI</t>
  </si>
  <si>
    <t>SU2-11</t>
  </si>
  <si>
    <t>E5-3</t>
  </si>
  <si>
    <t>L4-1</t>
  </si>
  <si>
    <t>S3-8</t>
  </si>
  <si>
    <t>SU2-12</t>
  </si>
  <si>
    <t>E6-1</t>
  </si>
  <si>
    <t>L4-2</t>
  </si>
  <si>
    <t>S3-9</t>
  </si>
  <si>
    <t>SU2-13</t>
  </si>
  <si>
    <t>E7-1</t>
  </si>
  <si>
    <t>L4-3</t>
  </si>
  <si>
    <t>S3-10</t>
  </si>
  <si>
    <t>SU2-14</t>
  </si>
  <si>
    <t>E7-2</t>
  </si>
  <si>
    <t>L4-4</t>
  </si>
  <si>
    <t>S4-1</t>
  </si>
  <si>
    <t>SU2-15</t>
  </si>
  <si>
    <t>E7-3</t>
  </si>
  <si>
    <t>L5-1</t>
  </si>
  <si>
    <t>S4-2</t>
  </si>
  <si>
    <t>ELSA</t>
  </si>
  <si>
    <t>SU2-16</t>
  </si>
  <si>
    <t>E7-4</t>
  </si>
  <si>
    <t>L5-2</t>
  </si>
  <si>
    <t>S4-3</t>
  </si>
  <si>
    <t>SU2-17</t>
  </si>
  <si>
    <t>L5-3</t>
  </si>
  <si>
    <t>S5-1</t>
  </si>
  <si>
    <t>SU2-18</t>
  </si>
  <si>
    <t>L5-4</t>
  </si>
  <si>
    <t>S5-2</t>
  </si>
  <si>
    <t>SU2-19</t>
  </si>
  <si>
    <t>L5-5</t>
  </si>
  <si>
    <t>S6-1</t>
  </si>
  <si>
    <t>SU2-20</t>
  </si>
  <si>
    <t>L5-6</t>
  </si>
  <si>
    <t>S7-1</t>
  </si>
  <si>
    <t>PTRO</t>
  </si>
  <si>
    <t>SU2-21</t>
  </si>
  <si>
    <t>L5-7</t>
  </si>
  <si>
    <t>S8-1</t>
  </si>
  <si>
    <t>SU2-22</t>
  </si>
  <si>
    <t>L6-1</t>
  </si>
  <si>
    <t>S9-1</t>
  </si>
  <si>
    <t>SU2-23</t>
  </si>
  <si>
    <t>L6-2</t>
  </si>
  <si>
    <t>S10-1</t>
  </si>
  <si>
    <t>SU2-24</t>
  </si>
  <si>
    <t>L6-3</t>
  </si>
  <si>
    <t>S11-1</t>
  </si>
  <si>
    <t>SU2-25</t>
  </si>
  <si>
    <t>L6-4</t>
  </si>
  <si>
    <t>S12-1</t>
  </si>
  <si>
    <t>ITMG</t>
  </si>
  <si>
    <t>SU2-26</t>
  </si>
  <si>
    <t>L6-5</t>
  </si>
  <si>
    <t>S12-2</t>
  </si>
  <si>
    <t>SU2-27</t>
  </si>
  <si>
    <t>L7-1</t>
  </si>
  <si>
    <t>S12-3</t>
  </si>
  <si>
    <t>SU2-28</t>
  </si>
  <si>
    <t>L8-1</t>
  </si>
  <si>
    <t>S13-1</t>
  </si>
  <si>
    <t>SU2-29</t>
  </si>
  <si>
    <t>L8-2</t>
  </si>
  <si>
    <t>S13-2</t>
  </si>
  <si>
    <t>SU2-30</t>
  </si>
  <si>
    <t>S14-1</t>
  </si>
  <si>
    <t>MBSS</t>
  </si>
  <si>
    <t>SU2-31</t>
  </si>
  <si>
    <t>S14-2</t>
  </si>
  <si>
    <t>SU2-32</t>
  </si>
  <si>
    <t>S15-1</t>
  </si>
  <si>
    <t>SU2-33</t>
  </si>
  <si>
    <t>S16-1</t>
  </si>
  <si>
    <t>SU2-34</t>
  </si>
  <si>
    <t>S16-2</t>
  </si>
  <si>
    <t>SU2-35</t>
  </si>
  <si>
    <t>S17-1</t>
  </si>
  <si>
    <t>MEDC</t>
  </si>
  <si>
    <t>SU2-36</t>
  </si>
  <si>
    <t>S17-2</t>
  </si>
  <si>
    <t>SU2-37</t>
  </si>
  <si>
    <t>S17-3</t>
  </si>
  <si>
    <t>SU2-38</t>
  </si>
  <si>
    <t>S18-1</t>
  </si>
  <si>
    <t>SU2-39</t>
  </si>
  <si>
    <t>S19-1</t>
  </si>
  <si>
    <t>SU2-40</t>
  </si>
  <si>
    <t>PGAS</t>
  </si>
  <si>
    <t>SU2-41</t>
  </si>
  <si>
    <t>SU2-42</t>
  </si>
  <si>
    <t>SU2-43</t>
  </si>
  <si>
    <t>SU2-44</t>
  </si>
  <si>
    <t>SU2-45</t>
  </si>
  <si>
    <t>PSSI</t>
  </si>
  <si>
    <t>SU2-46</t>
  </si>
  <si>
    <t>SU2-47</t>
  </si>
  <si>
    <t>SU2-48</t>
  </si>
  <si>
    <t>SU2-49</t>
  </si>
  <si>
    <t>SU2-50</t>
  </si>
  <si>
    <t>PTBA</t>
  </si>
  <si>
    <t>SU2-51</t>
  </si>
  <si>
    <t>SU2-52</t>
  </si>
  <si>
    <t>SU2-53</t>
  </si>
  <si>
    <t>SU2-54</t>
  </si>
  <si>
    <t>SU2-55</t>
  </si>
  <si>
    <t>ASII</t>
  </si>
  <si>
    <t>SU2-56</t>
  </si>
  <si>
    <t>SU3-1</t>
  </si>
  <si>
    <t>SU3-2</t>
  </si>
  <si>
    <t>SU3-3</t>
  </si>
  <si>
    <t>UNTR</t>
  </si>
  <si>
    <t>EXCL</t>
  </si>
  <si>
    <t>JSMR</t>
  </si>
  <si>
    <t>PTPP</t>
  </si>
  <si>
    <t>AALI</t>
  </si>
  <si>
    <t>WIKA</t>
  </si>
  <si>
    <t>WSKT</t>
  </si>
  <si>
    <t>INRU</t>
  </si>
  <si>
    <t>INTP</t>
  </si>
  <si>
    <t>SMCB</t>
  </si>
  <si>
    <t>SMII</t>
  </si>
  <si>
    <t>TINS</t>
  </si>
  <si>
    <t>WSBP</t>
  </si>
  <si>
    <t>WTON</t>
  </si>
  <si>
    <t>Standart Universal</t>
  </si>
  <si>
    <t>Ekonomi</t>
  </si>
  <si>
    <t>Lingkungan</t>
  </si>
  <si>
    <t>Sosial</t>
  </si>
  <si>
    <t>Biaya Penelitian dan Pengembangan</t>
  </si>
  <si>
    <t>Total Aset</t>
  </si>
  <si>
    <t>RnD</t>
  </si>
  <si>
    <t>KURS</t>
  </si>
  <si>
    <t>Indikator</t>
  </si>
  <si>
    <t>ICDI</t>
  </si>
  <si>
    <t>Total Aset Perusahaan</t>
  </si>
  <si>
    <t>Laba Bersih</t>
  </si>
  <si>
    <t>Total aset awal tahun</t>
  </si>
  <si>
    <t>Total aset akhir tahun</t>
  </si>
  <si>
    <t>ROA</t>
  </si>
  <si>
    <t>Total Hutang Akhir Tahun</t>
  </si>
  <si>
    <t>Total Aset Akhir Tahun</t>
  </si>
  <si>
    <t>Leverage</t>
  </si>
  <si>
    <t>Kewajiban Lancar</t>
  </si>
  <si>
    <t>Perusahaan</t>
  </si>
  <si>
    <t>Kuantitas</t>
  </si>
  <si>
    <t xml:space="preserve">Kualitas </t>
  </si>
  <si>
    <t>Y1</t>
  </si>
  <si>
    <t>Y2</t>
  </si>
  <si>
    <t>X1</t>
  </si>
  <si>
    <t>X2</t>
  </si>
  <si>
    <t>X3</t>
  </si>
  <si>
    <t>X4</t>
  </si>
  <si>
    <t>X5</t>
  </si>
  <si>
    <t xml:space="preserve"> Y2 </t>
  </si>
  <si>
    <t xml:space="preserve"> Z1 </t>
  </si>
  <si>
    <t xml:space="preserve"> Z2 </t>
  </si>
  <si>
    <t>Rata-Rata</t>
  </si>
  <si>
    <t xml:space="preserve">Total Indikator </t>
  </si>
  <si>
    <t>Tot</t>
  </si>
  <si>
    <t xml:space="preserve">Ln Total Aset </t>
  </si>
  <si>
    <t>Rata-Rata Total Aset</t>
  </si>
  <si>
    <t>Arus kas bersih dari Aktivitas Operasi</t>
  </si>
  <si>
    <t>Arus Kas</t>
  </si>
  <si>
    <t xml:space="preserve">Hasil analisis dikonversi menjadi rasio </t>
  </si>
  <si>
    <t xml:space="preserve">Melakukan perubahan kemasan produk untuk mengurangi zat berbahaya dan beracun dalam proses produksi </t>
  </si>
  <si>
    <t xml:space="preserve">Mengembangkan dan mendesain kemasan produk yang ramah lingkungan </t>
  </si>
  <si>
    <t xml:space="preserve">Melakukan perubahan motif produk untuk meningkatkan efisiensi energi dalam penggunaannya </t>
  </si>
  <si>
    <t xml:space="preserve">Inovasi Produk Hijau </t>
  </si>
  <si>
    <t xml:space="preserve">Inovasi Proses Hijau </t>
  </si>
  <si>
    <t xml:space="preserve">Hasil analisis dikonversi menjadi </t>
  </si>
  <si>
    <t xml:space="preserve">Mengurangi konsumsi sumber daya dan energi serta meningkatkan efisiensi sumber daya dan energi </t>
  </si>
  <si>
    <t xml:space="preserve">Menggunakan bahan daur ulang dan teknologi lingkungan </t>
  </si>
  <si>
    <t xml:space="preserve">Melaksanakan kampanye lingkungan </t>
  </si>
  <si>
    <t xml:space="preserve">Menggunakan alat pengendalian polusi </t>
  </si>
  <si>
    <t xml:space="preserve">Memperkenalkan teknologi perlindungan dan proyek </t>
  </si>
  <si>
    <t xml:space="preserve">Kualitas GTI </t>
  </si>
  <si>
    <t>Kuantitas GTI</t>
  </si>
  <si>
    <t xml:space="preserve">Variabel </t>
  </si>
  <si>
    <t>CF</t>
  </si>
  <si>
    <t>QGTI</t>
  </si>
  <si>
    <t>QTYGTI</t>
  </si>
  <si>
    <t>LEV</t>
  </si>
  <si>
    <t>R&amp;D</t>
  </si>
  <si>
    <t>IC</t>
  </si>
  <si>
    <t>SIZE</t>
  </si>
  <si>
    <t>Z1</t>
  </si>
  <si>
    <t>Z2</t>
  </si>
  <si>
    <t>VIF</t>
  </si>
  <si>
    <t>Variabel</t>
  </si>
  <si>
    <t xml:space="preserve">Tolerance </t>
  </si>
  <si>
    <t>R Square</t>
  </si>
  <si>
    <t>R Square Adjusted</t>
  </si>
  <si>
    <t>Kualitas Green Technology Innovation</t>
  </si>
  <si>
    <t>Kuantitas Green Technology Innovation</t>
  </si>
  <si>
    <t>Penelitian dan Pengembangan</t>
  </si>
  <si>
    <t>Pengendalian Internal</t>
  </si>
  <si>
    <t>Original Sample (O)</t>
  </si>
  <si>
    <t>Sample Mean (M)</t>
  </si>
  <si>
    <t>Standard Deviation (STDEV)</t>
  </si>
  <si>
    <t>T Statistics (|O/STDEV|)</t>
  </si>
  <si>
    <t>P Values</t>
  </si>
  <si>
    <t>AK -&gt; Kualitas Green Technology Innovation</t>
  </si>
  <si>
    <t>AK -&gt; Kuantitas Green Technology Innovation</t>
  </si>
  <si>
    <t>Corporate Social Responsibility -&gt; Kualitas Green Technology Innovation</t>
  </si>
  <si>
    <t>Corporate Social Responsibility -&gt; Kuantitas Green Technology Innovation</t>
  </si>
  <si>
    <t>Corporate Social Responsibility -&gt; Penelitian dan Pengembangan</t>
  </si>
  <si>
    <t>Corporate Social Responsibility -&gt; Pengendalian Internal</t>
  </si>
  <si>
    <t>LEV -&gt; Kualitas Green Technology Innovation</t>
  </si>
  <si>
    <t>LEV -&gt; Kuantitas Green Technology Innovation</t>
  </si>
  <si>
    <t>Penelitian dan Pengembangan -&gt; Kualitas Green Technology Innovation</t>
  </si>
  <si>
    <t>Penelitian dan Pengembangan -&gt; Kuantitas Green Technology Innovation</t>
  </si>
  <si>
    <t>Pengendalian Internal -&gt; Kualitas Green Technology Innovation</t>
  </si>
  <si>
    <t>Pengendalian Internal -&gt; Kuantitas Green Technology Innovation</t>
  </si>
  <si>
    <t>ROA -&gt; Kualitas Green Technology Innovation</t>
  </si>
  <si>
    <t>ROA -&gt; Kuantitas Green Technology Innovation</t>
  </si>
  <si>
    <t>UP -&gt; Kualitas Green Technology Innovation</t>
  </si>
  <si>
    <t>UP -&gt; Kuantitas Green Technology Innovation</t>
  </si>
  <si>
    <t>CSR -&gt; RnD -&gt; Kuantitas GTI</t>
  </si>
  <si>
    <t>CSR -&gt; RnD -&gt; Kualitas GTI</t>
  </si>
  <si>
    <t>CSR -&gt; IC -&gt; Kuantitas</t>
  </si>
  <si>
    <t>CSR -&gt; IC -&gt; Kualitas</t>
  </si>
  <si>
    <t>CSR --&gt; RnD --&gt; Kuantitas GTI</t>
  </si>
  <si>
    <t>CSR --&gt; RnD --&gt; Kualitas GTI</t>
  </si>
  <si>
    <t>CSR --&gt; IC --&gt; Kuantitas GTI</t>
  </si>
  <si>
    <t>CSR --&gt; IC --&gt; Kualitas GTI</t>
  </si>
  <si>
    <t xml:space="preserve">Stdev CSR-&gt; RnD </t>
  </si>
  <si>
    <t xml:space="preserve">Stdev RnD &gt; Kuantitas </t>
  </si>
  <si>
    <t>Stdev RnD &gt; Kualitas</t>
  </si>
  <si>
    <t>Stdev CSR-&gt; IC</t>
  </si>
  <si>
    <t xml:space="preserve">Stdev IC &gt; Kuantitas </t>
  </si>
  <si>
    <t>Stdev IC &gt; Kualitas</t>
  </si>
  <si>
    <t>Kode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</si>
</sst>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
    <numFmt numFmtId="165" formatCode="0.000000"/>
    <numFmt numFmtId="166" formatCode="#,##0.000"/>
    <numFmt numFmtId="167" formatCode="#,##0.000000"/>
    <numFmt numFmtId="168" formatCode="0.0000"/>
    <numFmt numFmtId="169" formatCode="_(* #,##0.00000_);_(* \(#,##0.00000\);_(* &quot;-&quot;??_);_(@_)"/>
    <numFmt numFmtId="170" formatCode="_(* #,##0.000_);_(* \(#,##0.000\);_(* &quot;-&quot;??_);_(@_)"/>
    <numFmt numFmtId="171" formatCode="_(* #,##0.0000_);_(* \(#,##0.0000\);_(* &quot;-&quot;??_);_(@_)"/>
  </numFmts>
  <fonts count="30" x14ac:knownFonts="1">
    <font>
      <sz val="10"/>
      <color rgb="FF000000"/>
      <name val="Arial"/>
      <scheme val="minor"/>
    </font>
    <font>
      <sz val="10"/>
      <color theme="1"/>
      <name val="Arial"/>
      <scheme val="minor"/>
    </font>
    <font>
      <b/>
      <sz val="10"/>
      <color theme="1"/>
      <name val="Arial"/>
      <scheme val="minor"/>
    </font>
    <font>
      <b/>
      <sz val="11"/>
      <color theme="1"/>
      <name val="Arial"/>
      <scheme val="minor"/>
    </font>
    <font>
      <sz val="11"/>
      <color theme="1"/>
      <name val="Arial"/>
      <scheme val="minor"/>
    </font>
    <font>
      <b/>
      <sz val="9"/>
      <color theme="1"/>
      <name val="Arial"/>
      <scheme val="minor"/>
    </font>
    <font>
      <b/>
      <sz val="10"/>
      <color theme="1"/>
      <name val="Arial"/>
      <scheme val="minor"/>
    </font>
    <font>
      <b/>
      <sz val="8"/>
      <color theme="1"/>
      <name val="Arial"/>
      <scheme val="minor"/>
    </font>
    <font>
      <sz val="10"/>
      <name val="Arial"/>
    </font>
    <font>
      <b/>
      <sz val="12"/>
      <color theme="1"/>
      <name val="Arial"/>
      <scheme val="minor"/>
    </font>
    <font>
      <u/>
      <sz val="10"/>
      <color theme="1"/>
      <name val="Arial"/>
      <scheme val="minor"/>
    </font>
    <font>
      <b/>
      <sz val="12"/>
      <color rgb="FF000000"/>
      <name val="Times New Roman"/>
      <family val="1"/>
    </font>
    <font>
      <sz val="12"/>
      <color rgb="FF000000"/>
      <name val="Times New Roman"/>
      <family val="1"/>
    </font>
    <font>
      <sz val="10"/>
      <color rgb="FF000000"/>
      <name val="Arial"/>
      <family val="2"/>
      <scheme val="minor"/>
    </font>
    <font>
      <b/>
      <sz val="11"/>
      <color theme="1"/>
      <name val="Arial"/>
      <family val="2"/>
      <scheme val="minor"/>
    </font>
    <font>
      <sz val="10"/>
      <color theme="1"/>
      <name val="Arial"/>
      <family val="2"/>
      <scheme val="minor"/>
    </font>
    <font>
      <b/>
      <sz val="10"/>
      <color rgb="FF000000"/>
      <name val="Arial"/>
      <family val="2"/>
      <scheme val="minor"/>
    </font>
    <font>
      <b/>
      <sz val="10"/>
      <color theme="1"/>
      <name val="Arial"/>
      <family val="2"/>
      <scheme val="minor"/>
    </font>
    <font>
      <b/>
      <sz val="11"/>
      <color theme="1"/>
      <name val="Times New Roman"/>
      <family val="1"/>
    </font>
    <font>
      <sz val="11"/>
      <color theme="1"/>
      <name val="Times New Roman"/>
      <family val="1"/>
    </font>
    <font>
      <sz val="11"/>
      <name val="Times New Roman"/>
      <family val="1"/>
    </font>
    <font>
      <b/>
      <sz val="11"/>
      <name val="Times New Roman"/>
      <family val="1"/>
    </font>
    <font>
      <sz val="11"/>
      <color rgb="FF000000"/>
      <name val="Times New Roman"/>
      <family val="1"/>
    </font>
    <font>
      <b/>
      <sz val="11"/>
      <color rgb="FF000000"/>
      <name val="Times New Roman"/>
      <family val="1"/>
    </font>
    <font>
      <sz val="11"/>
      <color rgb="FF000000"/>
      <name val="Calibri"/>
      <family val="2"/>
    </font>
    <font>
      <b/>
      <sz val="11"/>
      <color rgb="FF000000"/>
      <name val="Calibri"/>
      <family val="2"/>
    </font>
    <font>
      <sz val="10"/>
      <color rgb="FF000000"/>
      <name val="Arial"/>
      <scheme val="minor"/>
    </font>
    <font>
      <i/>
      <sz val="11"/>
      <name val="Times New Roman"/>
      <family val="1"/>
    </font>
    <font>
      <sz val="11"/>
      <color indexed="8"/>
      <name val="Times New Roman"/>
      <family val="1"/>
    </font>
    <font>
      <b/>
      <sz val="11"/>
      <color rgb="FF008000"/>
      <name val="Times New Roman"/>
      <family val="1"/>
    </font>
  </fonts>
  <fills count="3">
    <fill>
      <patternFill patternType="none"/>
    </fill>
    <fill>
      <patternFill patternType="gray125"/>
    </fill>
    <fill>
      <patternFill patternType="solid">
        <fgColor rgb="FFFFFFFF"/>
        <bgColor rgb="FFFFFFFF"/>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s>
  <cellStyleXfs count="2">
    <xf numFmtId="0" fontId="0" fillId="0" borderId="0"/>
    <xf numFmtId="43" fontId="26" fillId="0" borderId="0" applyFont="0" applyFill="0" applyBorder="0" applyAlignment="0" applyProtection="0"/>
  </cellStyleXfs>
  <cellXfs count="134">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1" fillId="0" borderId="2" xfId="0" applyFont="1" applyBorder="1" applyAlignment="1">
      <alignment horizontal="center" vertical="center"/>
    </xf>
    <xf numFmtId="164" fontId="2" fillId="0" borderId="2" xfId="0" applyNumberFormat="1" applyFont="1" applyBorder="1" applyAlignment="1">
      <alignment horizontal="center" vertical="center"/>
    </xf>
    <xf numFmtId="0" fontId="2" fillId="0" borderId="6" xfId="0"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3" fontId="1" fillId="0" borderId="0" xfId="0" applyNumberFormat="1" applyFont="1" applyAlignment="1">
      <alignment horizontal="center" vertical="center"/>
    </xf>
    <xf numFmtId="165" fontId="2" fillId="0" borderId="0" xfId="0" applyNumberFormat="1" applyFont="1" applyAlignment="1">
      <alignment horizontal="center" vertical="center"/>
    </xf>
    <xf numFmtId="3" fontId="1" fillId="0" borderId="0" xfId="0" applyNumberFormat="1" applyFont="1" applyAlignment="1">
      <alignment horizontal="center"/>
    </xf>
    <xf numFmtId="3" fontId="2" fillId="0" borderId="10" xfId="0" applyNumberFormat="1" applyFont="1" applyBorder="1" applyAlignment="1">
      <alignment horizontal="center"/>
    </xf>
    <xf numFmtId="3" fontId="1" fillId="0" borderId="9" xfId="0" applyNumberFormat="1" applyFont="1" applyBorder="1" applyAlignment="1">
      <alignment horizontal="center"/>
    </xf>
    <xf numFmtId="3" fontId="1" fillId="0" borderId="2" xfId="0" applyNumberFormat="1" applyFont="1" applyBorder="1" applyAlignment="1">
      <alignment horizontal="center"/>
    </xf>
    <xf numFmtId="164" fontId="2" fillId="0" borderId="0" xfId="0" applyNumberFormat="1" applyFont="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3" fontId="1" fillId="0" borderId="0" xfId="0" applyNumberFormat="1" applyFont="1"/>
    <xf numFmtId="164" fontId="1" fillId="0" borderId="0" xfId="0" applyNumberFormat="1" applyFont="1"/>
    <xf numFmtId="0" fontId="0" fillId="2" borderId="0" xfId="0" applyFill="1" applyAlignment="1">
      <alignment horizontal="center"/>
    </xf>
    <xf numFmtId="164" fontId="2" fillId="0" borderId="0" xfId="0" applyNumberFormat="1" applyFont="1"/>
    <xf numFmtId="0" fontId="0" fillId="2" borderId="2" xfId="0" applyFill="1" applyBorder="1" applyAlignment="1">
      <alignment horizontal="center"/>
    </xf>
    <xf numFmtId="0" fontId="10" fillId="0" borderId="0" xfId="0" applyFont="1"/>
    <xf numFmtId="0" fontId="0" fillId="2" borderId="13" xfId="0" applyFill="1" applyBorder="1" applyAlignment="1">
      <alignment horizontal="center"/>
    </xf>
    <xf numFmtId="0" fontId="2" fillId="0" borderId="0" xfId="0" applyFont="1" applyAlignment="1">
      <alignment horizontal="center"/>
    </xf>
    <xf numFmtId="0" fontId="11" fillId="0" borderId="14" xfId="0" applyFont="1" applyBorder="1" applyAlignment="1">
      <alignment horizontal="center" vertical="center"/>
    </xf>
    <xf numFmtId="0" fontId="11" fillId="0" borderId="14" xfId="0" applyFont="1" applyBorder="1" applyAlignment="1">
      <alignment vertical="center"/>
    </xf>
    <xf numFmtId="0" fontId="12" fillId="0" borderId="15" xfId="0" applyFont="1" applyBorder="1" applyAlignment="1">
      <alignment horizontal="center" vertical="center"/>
    </xf>
    <xf numFmtId="0" fontId="12" fillId="0" borderId="15" xfId="0" applyFont="1" applyBorder="1" applyAlignment="1">
      <alignment vertical="center"/>
    </xf>
    <xf numFmtId="0" fontId="13" fillId="0" borderId="0" xfId="0" applyFont="1"/>
    <xf numFmtId="0" fontId="16" fillId="0" borderId="0" xfId="0" applyFont="1"/>
    <xf numFmtId="0" fontId="14" fillId="0" borderId="0" xfId="0" applyFont="1" applyAlignment="1">
      <alignment horizontal="center" vertical="center"/>
    </xf>
    <xf numFmtId="0" fontId="17" fillId="0" borderId="0" xfId="0" applyFont="1"/>
    <xf numFmtId="0" fontId="17" fillId="0" borderId="0" xfId="0" applyFont="1" applyAlignment="1">
      <alignment horizontal="left" vertical="center"/>
    </xf>
    <xf numFmtId="0" fontId="18" fillId="0" borderId="17" xfId="0" applyFont="1" applyBorder="1" applyAlignment="1">
      <alignment horizontal="center" vertical="center"/>
    </xf>
    <xf numFmtId="0" fontId="19" fillId="0" borderId="17" xfId="0" applyFont="1" applyBorder="1" applyAlignment="1">
      <alignment horizontal="center" vertical="center"/>
    </xf>
    <xf numFmtId="164" fontId="19" fillId="0" borderId="17" xfId="0" applyNumberFormat="1" applyFont="1" applyBorder="1" applyAlignment="1">
      <alignment horizontal="center" vertical="center"/>
    </xf>
    <xf numFmtId="0" fontId="20" fillId="0" borderId="17" xfId="0" applyFont="1" applyBorder="1"/>
    <xf numFmtId="0" fontId="21" fillId="0" borderId="17" xfId="0" applyFont="1" applyBorder="1"/>
    <xf numFmtId="164" fontId="18" fillId="0" borderId="17" xfId="0" applyNumberFormat="1" applyFont="1" applyBorder="1" applyAlignment="1">
      <alignment horizontal="center" vertical="center"/>
    </xf>
    <xf numFmtId="3" fontId="17" fillId="0" borderId="0" xfId="0" applyNumberFormat="1" applyFont="1" applyAlignment="1">
      <alignment horizontal="center"/>
    </xf>
    <xf numFmtId="3" fontId="18" fillId="0" borderId="17" xfId="0" applyNumberFormat="1" applyFont="1" applyBorder="1" applyAlignment="1">
      <alignment horizontal="center" vertical="center" wrapText="1"/>
    </xf>
    <xf numFmtId="3" fontId="18" fillId="0" borderId="17" xfId="0" applyNumberFormat="1" applyFont="1" applyBorder="1" applyAlignment="1">
      <alignment horizontal="center" vertical="center"/>
    </xf>
    <xf numFmtId="165" fontId="18" fillId="0" borderId="17" xfId="0" applyNumberFormat="1" applyFont="1" applyBorder="1" applyAlignment="1">
      <alignment horizontal="center" vertical="center"/>
    </xf>
    <xf numFmtId="3" fontId="19" fillId="0" borderId="17" xfId="0" applyNumberFormat="1" applyFont="1" applyBorder="1" applyAlignment="1">
      <alignment horizontal="center" vertical="center"/>
    </xf>
    <xf numFmtId="165" fontId="19" fillId="0" borderId="17" xfId="0" applyNumberFormat="1" applyFont="1" applyBorder="1" applyAlignment="1">
      <alignment horizontal="center" vertical="center"/>
    </xf>
    <xf numFmtId="0" fontId="23" fillId="0" borderId="17" xfId="0" applyFont="1" applyBorder="1"/>
    <xf numFmtId="167" fontId="18" fillId="0" borderId="17" xfId="0" applyNumberFormat="1" applyFont="1" applyBorder="1" applyAlignment="1">
      <alignment horizontal="center" vertical="center"/>
    </xf>
    <xf numFmtId="3" fontId="19" fillId="0" borderId="17" xfId="0" applyNumberFormat="1" applyFont="1" applyBorder="1" applyAlignment="1">
      <alignment horizontal="center"/>
    </xf>
    <xf numFmtId="165" fontId="0" fillId="0" borderId="0" xfId="0" applyNumberFormat="1"/>
    <xf numFmtId="0" fontId="24" fillId="0" borderId="0" xfId="0" applyFont="1"/>
    <xf numFmtId="0" fontId="24" fillId="0" borderId="0" xfId="0" applyFont="1" applyAlignment="1">
      <alignment vertical="center" wrapText="1"/>
    </xf>
    <xf numFmtId="0" fontId="17" fillId="0" borderId="4" xfId="0" applyFont="1" applyBorder="1" applyAlignment="1">
      <alignment horizontal="center" vertical="center"/>
    </xf>
    <xf numFmtId="0" fontId="25" fillId="0" borderId="0" xfId="0" applyFont="1" applyAlignment="1">
      <alignment vertical="center" wrapText="1"/>
    </xf>
    <xf numFmtId="0" fontId="23" fillId="0" borderId="15" xfId="0" applyFont="1" applyBorder="1" applyAlignment="1">
      <alignment horizontal="center" vertical="center"/>
    </xf>
    <xf numFmtId="0" fontId="22" fillId="0" borderId="15" xfId="0" applyFont="1" applyBorder="1" applyAlignment="1">
      <alignment horizontal="center" vertical="center"/>
    </xf>
    <xf numFmtId="0" fontId="23" fillId="0" borderId="0" xfId="0" applyFont="1" applyAlignment="1">
      <alignment horizontal="center" vertical="center"/>
    </xf>
    <xf numFmtId="0" fontId="23" fillId="0" borderId="14" xfId="0" applyFont="1" applyBorder="1" applyAlignment="1">
      <alignment horizontal="center" vertical="center"/>
    </xf>
    <xf numFmtId="0" fontId="22" fillId="0" borderId="17" xfId="0" applyFont="1" applyBorder="1"/>
    <xf numFmtId="166" fontId="18" fillId="0" borderId="17" xfId="0" applyNumberFormat="1" applyFont="1" applyBorder="1" applyAlignment="1">
      <alignment horizontal="center" vertical="center"/>
    </xf>
    <xf numFmtId="3" fontId="19" fillId="2" borderId="17" xfId="0" applyNumberFormat="1" applyFont="1" applyFill="1" applyBorder="1" applyAlignment="1">
      <alignment horizontal="center" vertical="center"/>
    </xf>
    <xf numFmtId="0" fontId="19" fillId="2" borderId="17" xfId="0" applyFont="1" applyFill="1" applyBorder="1" applyAlignment="1">
      <alignment horizontal="center" vertical="center"/>
    </xf>
    <xf numFmtId="3" fontId="19" fillId="2" borderId="17" xfId="0" applyNumberFormat="1" applyFont="1" applyFill="1" applyBorder="1" applyAlignment="1">
      <alignment horizontal="center"/>
    </xf>
    <xf numFmtId="164" fontId="15" fillId="0" borderId="0" xfId="0" applyNumberFormat="1" applyFont="1" applyAlignment="1">
      <alignment horizontal="center" vertical="center"/>
    </xf>
    <xf numFmtId="164" fontId="15" fillId="0" borderId="0" xfId="0" applyNumberFormat="1" applyFont="1"/>
    <xf numFmtId="164" fontId="2" fillId="0" borderId="13" xfId="0" applyNumberFormat="1" applyFont="1" applyBorder="1" applyAlignment="1">
      <alignment horizontal="center" vertical="center"/>
    </xf>
    <xf numFmtId="168" fontId="0" fillId="0" borderId="0" xfId="0" applyNumberFormat="1"/>
    <xf numFmtId="169" fontId="0" fillId="0" borderId="0" xfId="1" applyNumberFormat="1" applyFont="1"/>
    <xf numFmtId="0" fontId="22" fillId="0" borderId="14" xfId="0" applyFont="1" applyBorder="1" applyAlignment="1">
      <alignment horizontal="center"/>
    </xf>
    <xf numFmtId="170" fontId="0" fillId="0" borderId="0" xfId="1" applyNumberFormat="1" applyFont="1"/>
    <xf numFmtId="0" fontId="20" fillId="0" borderId="14" xfId="0" applyFont="1" applyBorder="1" applyAlignment="1">
      <alignment horizontal="center" vertical="center"/>
    </xf>
    <xf numFmtId="170" fontId="20" fillId="0" borderId="14" xfId="1" applyNumberFormat="1" applyFont="1" applyBorder="1" applyAlignment="1">
      <alignment horizontal="center" vertical="center"/>
    </xf>
    <xf numFmtId="170" fontId="27" fillId="0" borderId="14" xfId="1" applyNumberFormat="1" applyFont="1" applyBorder="1" applyAlignment="1">
      <alignment horizontal="center" vertical="center"/>
    </xf>
    <xf numFmtId="0" fontId="0" fillId="0" borderId="0" xfId="0" applyAlignment="1">
      <alignment horizontal="center"/>
    </xf>
    <xf numFmtId="0" fontId="28" fillId="0" borderId="14" xfId="0" applyFont="1" applyBorder="1" applyAlignment="1">
      <alignment horizontal="center" vertical="center"/>
    </xf>
    <xf numFmtId="0" fontId="28" fillId="0" borderId="14" xfId="0" applyFont="1" applyBorder="1" applyAlignment="1">
      <alignment vertical="center"/>
    </xf>
    <xf numFmtId="164" fontId="28" fillId="0" borderId="14" xfId="0" applyNumberFormat="1" applyFont="1" applyBorder="1" applyAlignment="1">
      <alignment horizontal="center" vertical="center"/>
    </xf>
    <xf numFmtId="0" fontId="23" fillId="0" borderId="14" xfId="0" applyFont="1" applyBorder="1" applyAlignment="1">
      <alignment horizontal="center" vertical="center" wrapText="1"/>
    </xf>
    <xf numFmtId="0" fontId="23" fillId="0" borderId="14" xfId="0" applyFont="1" applyBorder="1" applyAlignment="1">
      <alignment vertical="center"/>
    </xf>
    <xf numFmtId="0" fontId="22" fillId="0" borderId="14" xfId="0" applyFont="1" applyBorder="1" applyAlignment="1">
      <alignment horizontal="center" vertical="center"/>
    </xf>
    <xf numFmtId="0" fontId="29" fillId="0" borderId="14" xfId="0" applyFont="1" applyBorder="1" applyAlignment="1">
      <alignment horizontal="center" vertical="center"/>
    </xf>
    <xf numFmtId="171" fontId="23" fillId="0" borderId="14" xfId="1" applyNumberFormat="1" applyFont="1" applyBorder="1" applyAlignment="1">
      <alignment horizontal="center" vertical="center" wrapText="1"/>
    </xf>
    <xf numFmtId="171" fontId="22" fillId="0" borderId="14" xfId="1" applyNumberFormat="1" applyFont="1" applyBorder="1" applyAlignment="1">
      <alignment horizontal="center" vertical="center"/>
    </xf>
    <xf numFmtId="171" fontId="20" fillId="0" borderId="14" xfId="1" applyNumberFormat="1" applyFont="1" applyBorder="1" applyAlignment="1">
      <alignment horizontal="center" vertical="center"/>
    </xf>
    <xf numFmtId="171" fontId="0" fillId="0" borderId="0" xfId="1" applyNumberFormat="1" applyFont="1" applyAlignment="1">
      <alignment horizontal="center" vertical="center"/>
    </xf>
    <xf numFmtId="0" fontId="23" fillId="0" borderId="0" xfId="0" applyFont="1" applyAlignment="1">
      <alignment vertical="center"/>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0" fillId="0" borderId="18" xfId="0" applyBorder="1" applyAlignment="1">
      <alignment horizontal="center"/>
    </xf>
    <xf numFmtId="169" fontId="0" fillId="0" borderId="18" xfId="1" applyNumberFormat="1" applyFont="1" applyBorder="1" applyAlignment="1">
      <alignment horizontal="center"/>
    </xf>
    <xf numFmtId="168" fontId="0" fillId="0" borderId="18" xfId="0" applyNumberFormat="1" applyBorder="1" applyAlignment="1">
      <alignment horizontal="center"/>
    </xf>
    <xf numFmtId="0" fontId="17" fillId="0" borderId="2" xfId="0" applyFont="1" applyBorder="1" applyAlignment="1">
      <alignment horizontal="center" vertical="center"/>
    </xf>
    <xf numFmtId="0" fontId="17" fillId="0" borderId="6" xfId="0" applyFont="1" applyBorder="1" applyAlignment="1">
      <alignment horizontal="center" vertical="center"/>
    </xf>
    <xf numFmtId="0" fontId="16" fillId="0" borderId="18" xfId="0" applyFont="1" applyBorder="1" applyAlignment="1">
      <alignment horizontal="center"/>
    </xf>
    <xf numFmtId="169" fontId="16" fillId="0" borderId="18" xfId="1" applyNumberFormat="1" applyFont="1" applyBorder="1" applyAlignment="1">
      <alignment horizontal="center"/>
    </xf>
    <xf numFmtId="0" fontId="9" fillId="0" borderId="6" xfId="0" applyFont="1" applyBorder="1" applyAlignment="1">
      <alignment horizontal="center" vertical="center"/>
    </xf>
    <xf numFmtId="0" fontId="8" fillId="0" borderId="8" xfId="0" applyFont="1" applyBorder="1"/>
    <xf numFmtId="0" fontId="8" fillId="0" borderId="7" xfId="0" applyFont="1" applyBorder="1"/>
    <xf numFmtId="0" fontId="1" fillId="0" borderId="3" xfId="0" applyFont="1" applyBorder="1" applyAlignment="1">
      <alignment horizontal="center" vertical="center"/>
    </xf>
    <xf numFmtId="0" fontId="8" fillId="0" borderId="4" xfId="0" applyFont="1" applyBorder="1"/>
    <xf numFmtId="0" fontId="8" fillId="0" borderId="5" xfId="0" applyFont="1" applyBorder="1"/>
    <xf numFmtId="0" fontId="2" fillId="0" borderId="6" xfId="0" applyFont="1" applyBorder="1" applyAlignment="1">
      <alignment horizontal="center" vertical="center"/>
    </xf>
    <xf numFmtId="0" fontId="1" fillId="0" borderId="1" xfId="0" applyFont="1" applyBorder="1" applyAlignment="1">
      <alignment horizontal="center" vertical="center"/>
    </xf>
    <xf numFmtId="0" fontId="8" fillId="0" borderId="9" xfId="0" applyFont="1" applyBorder="1"/>
    <xf numFmtId="0" fontId="1" fillId="0" borderId="4" xfId="0" applyFont="1" applyBorder="1" applyAlignment="1">
      <alignment horizontal="center" vertical="center"/>
    </xf>
    <xf numFmtId="0" fontId="19" fillId="0" borderId="17" xfId="0" applyFont="1" applyBorder="1" applyAlignment="1">
      <alignment horizontal="center" vertical="center"/>
    </xf>
    <xf numFmtId="0" fontId="20" fillId="0" borderId="17" xfId="0" applyFont="1" applyBorder="1"/>
    <xf numFmtId="0" fontId="3" fillId="0" borderId="0" xfId="0" applyFont="1" applyAlignment="1">
      <alignment horizontal="center" vertical="center"/>
    </xf>
    <xf numFmtId="0" fontId="0" fillId="0" borderId="0" xfId="0"/>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12" fillId="0" borderId="16" xfId="0" applyFont="1" applyBorder="1" applyAlignment="1">
      <alignment horizontal="center"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19" fillId="2" borderId="17" xfId="0" applyFont="1" applyFill="1" applyBorder="1" applyAlignment="1">
      <alignment horizontal="center" vertical="center"/>
    </xf>
    <xf numFmtId="0" fontId="22" fillId="0" borderId="16" xfId="0" applyFont="1" applyBorder="1" applyAlignment="1">
      <alignment horizontal="center" vertical="center"/>
    </xf>
    <xf numFmtId="0" fontId="22" fillId="0" borderId="0" xfId="0" applyFont="1" applyAlignment="1">
      <alignment horizontal="center" vertical="center"/>
    </xf>
    <xf numFmtId="0" fontId="22"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cellXfs>
  <cellStyles count="2">
    <cellStyle name="Comma" xfId="1" builtin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10</xdr:col>
      <xdr:colOff>68580</xdr:colOff>
      <xdr:row>13</xdr:row>
      <xdr:rowOff>160020</xdr:rowOff>
    </xdr:from>
    <xdr:to>
      <xdr:col>20</xdr:col>
      <xdr:colOff>479063</xdr:colOff>
      <xdr:row>22</xdr:row>
      <xdr:rowOff>156420</xdr:rowOff>
    </xdr:to>
    <xdr:pic>
      <xdr:nvPicPr>
        <xdr:cNvPr id="2" name="Picture 1">
          <a:extLst>
            <a:ext uri="{FF2B5EF4-FFF2-40B4-BE49-F238E27FC236}">
              <a16:creationId xmlns:a16="http://schemas.microsoft.com/office/drawing/2014/main" id="{57D94ECF-85DD-7658-815D-8F035D88C2AD}"/>
            </a:ext>
          </a:extLst>
        </xdr:cNvPr>
        <xdr:cNvPicPr>
          <a:picLocks noChangeAspect="1"/>
        </xdr:cNvPicPr>
      </xdr:nvPicPr>
      <xdr:blipFill>
        <a:blip xmlns:r="http://schemas.openxmlformats.org/officeDocument/2006/relationships" r:embed="rId1"/>
        <a:stretch>
          <a:fillRect/>
        </a:stretch>
      </xdr:blipFill>
      <xdr:spPr>
        <a:xfrm>
          <a:off x="6446520" y="2423160"/>
          <a:ext cx="6506483" cy="1505160"/>
        </a:xfrm>
        <a:prstGeom prst="rect">
          <a:avLst/>
        </a:prstGeom>
      </xdr:spPr>
    </xdr:pic>
    <xdr:clientData/>
  </xdr:twoCellAnchor>
  <xdr:twoCellAnchor editAs="oneCell">
    <xdr:from>
      <xdr:col>10</xdr:col>
      <xdr:colOff>53340</xdr:colOff>
      <xdr:row>30</xdr:row>
      <xdr:rowOff>15240</xdr:rowOff>
    </xdr:from>
    <xdr:to>
      <xdr:col>20</xdr:col>
      <xdr:colOff>425718</xdr:colOff>
      <xdr:row>38</xdr:row>
      <xdr:rowOff>160227</xdr:rowOff>
    </xdr:to>
    <xdr:pic>
      <xdr:nvPicPr>
        <xdr:cNvPr id="3" name="Picture 2">
          <a:extLst>
            <a:ext uri="{FF2B5EF4-FFF2-40B4-BE49-F238E27FC236}">
              <a16:creationId xmlns:a16="http://schemas.microsoft.com/office/drawing/2014/main" id="{4B582AA4-45D4-F349-9985-1A0B035D43A6}"/>
            </a:ext>
          </a:extLst>
        </xdr:cNvPr>
        <xdr:cNvPicPr>
          <a:picLocks noChangeAspect="1"/>
        </xdr:cNvPicPr>
      </xdr:nvPicPr>
      <xdr:blipFill>
        <a:blip xmlns:r="http://schemas.openxmlformats.org/officeDocument/2006/relationships" r:embed="rId2"/>
        <a:stretch>
          <a:fillRect/>
        </a:stretch>
      </xdr:blipFill>
      <xdr:spPr>
        <a:xfrm>
          <a:off x="6431280" y="5143500"/>
          <a:ext cx="6468378" cy="1486107"/>
        </a:xfrm>
        <a:prstGeom prst="rect">
          <a:avLst/>
        </a:prstGeom>
      </xdr:spPr>
    </xdr:pic>
    <xdr:clientData/>
  </xdr:twoCellAnchor>
  <xdr:twoCellAnchor editAs="oneCell">
    <xdr:from>
      <xdr:col>10</xdr:col>
      <xdr:colOff>0</xdr:colOff>
      <xdr:row>46</xdr:row>
      <xdr:rowOff>0</xdr:rowOff>
    </xdr:from>
    <xdr:to>
      <xdr:col>20</xdr:col>
      <xdr:colOff>353325</xdr:colOff>
      <xdr:row>54</xdr:row>
      <xdr:rowOff>87829</xdr:rowOff>
    </xdr:to>
    <xdr:pic>
      <xdr:nvPicPr>
        <xdr:cNvPr id="4" name="Picture 3">
          <a:extLst>
            <a:ext uri="{FF2B5EF4-FFF2-40B4-BE49-F238E27FC236}">
              <a16:creationId xmlns:a16="http://schemas.microsoft.com/office/drawing/2014/main" id="{88AEE06F-8403-72B9-D87F-680AF5FEB2EC}"/>
            </a:ext>
          </a:extLst>
        </xdr:cNvPr>
        <xdr:cNvPicPr>
          <a:picLocks noChangeAspect="1"/>
        </xdr:cNvPicPr>
      </xdr:nvPicPr>
      <xdr:blipFill>
        <a:blip xmlns:r="http://schemas.openxmlformats.org/officeDocument/2006/relationships" r:embed="rId3"/>
        <a:stretch>
          <a:fillRect/>
        </a:stretch>
      </xdr:blipFill>
      <xdr:spPr>
        <a:xfrm>
          <a:off x="6377940" y="7825740"/>
          <a:ext cx="6449325" cy="1428949"/>
        </a:xfrm>
        <a:prstGeom prst="rect">
          <a:avLst/>
        </a:prstGeom>
      </xdr:spPr>
    </xdr:pic>
    <xdr:clientData/>
  </xdr:twoCellAnchor>
  <xdr:twoCellAnchor editAs="oneCell">
    <xdr:from>
      <xdr:col>10</xdr:col>
      <xdr:colOff>0</xdr:colOff>
      <xdr:row>62</xdr:row>
      <xdr:rowOff>0</xdr:rowOff>
    </xdr:from>
    <xdr:to>
      <xdr:col>20</xdr:col>
      <xdr:colOff>400957</xdr:colOff>
      <xdr:row>71</xdr:row>
      <xdr:rowOff>15453</xdr:rowOff>
    </xdr:to>
    <xdr:pic>
      <xdr:nvPicPr>
        <xdr:cNvPr id="5" name="Picture 4">
          <a:extLst>
            <a:ext uri="{FF2B5EF4-FFF2-40B4-BE49-F238E27FC236}">
              <a16:creationId xmlns:a16="http://schemas.microsoft.com/office/drawing/2014/main" id="{C4F742A1-4DAD-8E92-654B-5844BFD696C0}"/>
            </a:ext>
          </a:extLst>
        </xdr:cNvPr>
        <xdr:cNvPicPr>
          <a:picLocks noChangeAspect="1"/>
        </xdr:cNvPicPr>
      </xdr:nvPicPr>
      <xdr:blipFill>
        <a:blip xmlns:r="http://schemas.openxmlformats.org/officeDocument/2006/relationships" r:embed="rId4"/>
        <a:stretch>
          <a:fillRect/>
        </a:stretch>
      </xdr:blipFill>
      <xdr:spPr>
        <a:xfrm>
          <a:off x="6377940" y="10523220"/>
          <a:ext cx="6496957" cy="1524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594360</xdr:colOff>
      <xdr:row>5</xdr:row>
      <xdr:rowOff>38707</xdr:rowOff>
    </xdr:from>
    <xdr:to>
      <xdr:col>18</xdr:col>
      <xdr:colOff>107882</xdr:colOff>
      <xdr:row>20</xdr:row>
      <xdr:rowOff>122383</xdr:rowOff>
    </xdr:to>
    <xdr:pic>
      <xdr:nvPicPr>
        <xdr:cNvPr id="2" name="Picture 1">
          <a:extLst>
            <a:ext uri="{FF2B5EF4-FFF2-40B4-BE49-F238E27FC236}">
              <a16:creationId xmlns:a16="http://schemas.microsoft.com/office/drawing/2014/main" id="{3BD78646-D776-BB65-BB33-1788E8D302C8}"/>
            </a:ext>
          </a:extLst>
        </xdr:cNvPr>
        <xdr:cNvPicPr>
          <a:picLocks noChangeAspect="1"/>
        </xdr:cNvPicPr>
      </xdr:nvPicPr>
      <xdr:blipFill>
        <a:blip xmlns:r="http://schemas.openxmlformats.org/officeDocument/2006/relationships" r:embed="rId1"/>
        <a:stretch>
          <a:fillRect/>
        </a:stretch>
      </xdr:blipFill>
      <xdr:spPr>
        <a:xfrm>
          <a:off x="6629400" y="1280767"/>
          <a:ext cx="6828722" cy="2628756"/>
        </a:xfrm>
        <a:prstGeom prst="rect">
          <a:avLst/>
        </a:prstGeom>
      </xdr:spPr>
    </xdr:pic>
    <xdr:clientData/>
  </xdr:twoCellAnchor>
  <xdr:twoCellAnchor editAs="oneCell">
    <xdr:from>
      <xdr:col>6</xdr:col>
      <xdr:colOff>594360</xdr:colOff>
      <xdr:row>22</xdr:row>
      <xdr:rowOff>14907</xdr:rowOff>
    </xdr:from>
    <xdr:to>
      <xdr:col>17</xdr:col>
      <xdr:colOff>248684</xdr:colOff>
      <xdr:row>35</xdr:row>
      <xdr:rowOff>91807</xdr:rowOff>
    </xdr:to>
    <xdr:pic>
      <xdr:nvPicPr>
        <xdr:cNvPr id="3" name="Picture 2">
          <a:extLst>
            <a:ext uri="{FF2B5EF4-FFF2-40B4-BE49-F238E27FC236}">
              <a16:creationId xmlns:a16="http://schemas.microsoft.com/office/drawing/2014/main" id="{00C8BEE1-5609-067D-64EC-13F2F61F986B}"/>
            </a:ext>
          </a:extLst>
        </xdr:cNvPr>
        <xdr:cNvPicPr>
          <a:picLocks noChangeAspect="1"/>
        </xdr:cNvPicPr>
      </xdr:nvPicPr>
      <xdr:blipFill>
        <a:blip xmlns:r="http://schemas.openxmlformats.org/officeDocument/2006/relationships" r:embed="rId2"/>
        <a:stretch>
          <a:fillRect/>
        </a:stretch>
      </xdr:blipFill>
      <xdr:spPr>
        <a:xfrm>
          <a:off x="6629400" y="4503087"/>
          <a:ext cx="6359924" cy="2256220"/>
        </a:xfrm>
        <a:prstGeom prst="rect">
          <a:avLst/>
        </a:prstGeom>
      </xdr:spPr>
    </xdr:pic>
    <xdr:clientData/>
  </xdr:twoCellAnchor>
  <xdr:twoCellAnchor editAs="oneCell">
    <xdr:from>
      <xdr:col>6</xdr:col>
      <xdr:colOff>487680</xdr:colOff>
      <xdr:row>38</xdr:row>
      <xdr:rowOff>78940</xdr:rowOff>
    </xdr:from>
    <xdr:to>
      <xdr:col>17</xdr:col>
      <xdr:colOff>269670</xdr:colOff>
      <xdr:row>54</xdr:row>
      <xdr:rowOff>93788</xdr:rowOff>
    </xdr:to>
    <xdr:pic>
      <xdr:nvPicPr>
        <xdr:cNvPr id="4" name="Picture 3">
          <a:extLst>
            <a:ext uri="{FF2B5EF4-FFF2-40B4-BE49-F238E27FC236}">
              <a16:creationId xmlns:a16="http://schemas.microsoft.com/office/drawing/2014/main" id="{7E65618F-E8AD-8996-FA25-1028E01058D4}"/>
            </a:ext>
          </a:extLst>
        </xdr:cNvPr>
        <xdr:cNvPicPr>
          <a:picLocks noChangeAspect="1"/>
        </xdr:cNvPicPr>
      </xdr:nvPicPr>
      <xdr:blipFill>
        <a:blip xmlns:r="http://schemas.openxmlformats.org/officeDocument/2006/relationships" r:embed="rId3"/>
        <a:stretch>
          <a:fillRect/>
        </a:stretch>
      </xdr:blipFill>
      <xdr:spPr>
        <a:xfrm>
          <a:off x="6522720" y="7249360"/>
          <a:ext cx="6487590" cy="2697088"/>
        </a:xfrm>
        <a:prstGeom prst="rect">
          <a:avLst/>
        </a:prstGeom>
      </xdr:spPr>
    </xdr:pic>
    <xdr:clientData/>
  </xdr:twoCellAnchor>
  <xdr:twoCellAnchor editAs="oneCell">
    <xdr:from>
      <xdr:col>6</xdr:col>
      <xdr:colOff>441960</xdr:colOff>
      <xdr:row>56</xdr:row>
      <xdr:rowOff>163068</xdr:rowOff>
    </xdr:from>
    <xdr:to>
      <xdr:col>17</xdr:col>
      <xdr:colOff>18189</xdr:colOff>
      <xdr:row>73</xdr:row>
      <xdr:rowOff>49985</xdr:rowOff>
    </xdr:to>
    <xdr:pic>
      <xdr:nvPicPr>
        <xdr:cNvPr id="5" name="Picture 4">
          <a:extLst>
            <a:ext uri="{FF2B5EF4-FFF2-40B4-BE49-F238E27FC236}">
              <a16:creationId xmlns:a16="http://schemas.microsoft.com/office/drawing/2014/main" id="{3E9776A8-E1EA-0EF7-15C6-251BF2E2AD23}"/>
            </a:ext>
          </a:extLst>
        </xdr:cNvPr>
        <xdr:cNvPicPr>
          <a:picLocks noChangeAspect="1"/>
        </xdr:cNvPicPr>
      </xdr:nvPicPr>
      <xdr:blipFill>
        <a:blip xmlns:r="http://schemas.openxmlformats.org/officeDocument/2006/relationships" r:embed="rId4"/>
        <a:stretch>
          <a:fillRect/>
        </a:stretch>
      </xdr:blipFill>
      <xdr:spPr>
        <a:xfrm>
          <a:off x="6477000" y="10351008"/>
          <a:ext cx="6281829" cy="273679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2102"/>
  <sheetViews>
    <sheetView topLeftCell="B1" workbookViewId="0">
      <selection activeCell="B4" sqref="B4:E160"/>
    </sheetView>
  </sheetViews>
  <sheetFormatPr defaultColWidth="12.6640625" defaultRowHeight="15.75" customHeight="1" x14ac:dyDescent="0.25"/>
  <cols>
    <col min="1" max="1" width="10.77734375" customWidth="1"/>
    <col min="4" max="12" width="9.88671875" customWidth="1"/>
  </cols>
  <sheetData>
    <row r="1" spans="1:29" ht="13.2" x14ac:dyDescent="0.25">
      <c r="A1" s="1"/>
      <c r="B1" s="2"/>
      <c r="C1" s="2"/>
      <c r="D1" s="2"/>
      <c r="E1" s="2"/>
      <c r="F1" s="2"/>
      <c r="G1" s="2"/>
      <c r="H1" s="2"/>
      <c r="I1" s="2"/>
      <c r="J1" s="2"/>
      <c r="K1" s="2"/>
      <c r="L1" s="2"/>
    </row>
    <row r="2" spans="1:29" ht="13.2" x14ac:dyDescent="0.25">
      <c r="B2" s="2"/>
      <c r="C2" s="3" t="s">
        <v>0</v>
      </c>
      <c r="D2" s="2"/>
      <c r="E2" s="2"/>
      <c r="F2" s="2"/>
      <c r="G2" s="2" t="s">
        <v>1</v>
      </c>
      <c r="H2" s="2" t="s">
        <v>2</v>
      </c>
      <c r="I2" s="2" t="s">
        <v>3</v>
      </c>
      <c r="J2" s="2" t="s">
        <v>4</v>
      </c>
      <c r="K2" s="2"/>
      <c r="L2" s="2"/>
    </row>
    <row r="3" spans="1:29" ht="14.4" thickBot="1" x14ac:dyDescent="0.3">
      <c r="B3" s="2"/>
      <c r="C3" s="2"/>
      <c r="D3" s="2"/>
      <c r="E3" s="2"/>
      <c r="F3" s="2"/>
      <c r="G3" s="117" t="s">
        <v>5</v>
      </c>
      <c r="H3" s="118"/>
      <c r="I3" s="118"/>
      <c r="J3" s="118"/>
      <c r="K3" s="118"/>
      <c r="L3" s="118"/>
      <c r="M3" s="118"/>
      <c r="N3" s="118"/>
    </row>
    <row r="4" spans="1:29" ht="14.4" thickBot="1" x14ac:dyDescent="0.3">
      <c r="B4" s="42" t="s">
        <v>6</v>
      </c>
      <c r="C4" s="42" t="s">
        <v>7</v>
      </c>
      <c r="D4" s="42" t="s">
        <v>8</v>
      </c>
      <c r="E4" s="42" t="s">
        <v>9</v>
      </c>
      <c r="G4" s="6" t="s">
        <v>10</v>
      </c>
      <c r="H4" s="119" t="s">
        <v>11</v>
      </c>
      <c r="I4" s="6" t="s">
        <v>12</v>
      </c>
      <c r="J4" s="120" t="s">
        <v>13</v>
      </c>
      <c r="K4" s="6" t="s">
        <v>14</v>
      </c>
      <c r="L4" s="121" t="s">
        <v>15</v>
      </c>
      <c r="M4" s="1" t="s">
        <v>16</v>
      </c>
      <c r="N4" s="122" t="s">
        <v>17</v>
      </c>
      <c r="O4" s="7">
        <v>1</v>
      </c>
    </row>
    <row r="5" spans="1:29" ht="14.4" thickBot="1" x14ac:dyDescent="0.3">
      <c r="A5" s="8"/>
      <c r="B5" s="115" t="s">
        <v>18</v>
      </c>
      <c r="C5" s="43">
        <v>2018</v>
      </c>
      <c r="D5" s="43">
        <f>X165+X299+X434+U569+S703+S838+X973+X1109</f>
        <v>78</v>
      </c>
      <c r="E5" s="44">
        <f t="shared" ref="E5:E159" si="0">D5/147</f>
        <v>0.53061224489795922</v>
      </c>
      <c r="G5" s="6" t="s">
        <v>19</v>
      </c>
      <c r="H5" s="118"/>
      <c r="I5" s="6" t="s">
        <v>20</v>
      </c>
      <c r="J5" s="118"/>
      <c r="K5" s="6" t="s">
        <v>21</v>
      </c>
      <c r="L5" s="118"/>
      <c r="M5" s="1" t="s">
        <v>22</v>
      </c>
      <c r="N5" s="118"/>
      <c r="O5" s="7">
        <v>2</v>
      </c>
      <c r="P5" s="8"/>
      <c r="Q5" s="8"/>
      <c r="R5" s="8"/>
      <c r="S5" s="8"/>
      <c r="T5" s="8"/>
      <c r="U5" s="8"/>
      <c r="V5" s="8"/>
      <c r="W5" s="8"/>
      <c r="X5" s="8"/>
      <c r="Y5" s="8"/>
      <c r="Z5" s="8"/>
      <c r="AA5" s="8"/>
      <c r="AB5" s="8"/>
      <c r="AC5" s="8"/>
    </row>
    <row r="6" spans="1:29" ht="14.4" thickBot="1" x14ac:dyDescent="0.3">
      <c r="B6" s="116"/>
      <c r="C6" s="43">
        <v>2019</v>
      </c>
      <c r="D6" s="43">
        <f>X166+X300+X435+U570+S704+S839+X974+X1110</f>
        <v>88</v>
      </c>
      <c r="E6" s="44">
        <f t="shared" si="0"/>
        <v>0.59863945578231292</v>
      </c>
      <c r="G6" s="6" t="s">
        <v>23</v>
      </c>
      <c r="H6" s="118"/>
      <c r="I6" s="6" t="s">
        <v>24</v>
      </c>
      <c r="J6" s="118"/>
      <c r="K6" s="6" t="s">
        <v>25</v>
      </c>
      <c r="L6" s="118"/>
      <c r="M6" s="1" t="s">
        <v>26</v>
      </c>
      <c r="N6" s="118"/>
      <c r="O6" s="7">
        <v>3</v>
      </c>
    </row>
    <row r="7" spans="1:29" ht="14.4" thickBot="1" x14ac:dyDescent="0.3">
      <c r="B7" s="116"/>
      <c r="C7" s="43">
        <v>2020</v>
      </c>
      <c r="D7" s="43">
        <f>X167+X301+X436+U571+S705+S840+X975+X1111</f>
        <v>83</v>
      </c>
      <c r="E7" s="44">
        <f t="shared" si="0"/>
        <v>0.56462585034013602</v>
      </c>
      <c r="G7" s="6" t="s">
        <v>27</v>
      </c>
      <c r="H7" s="118"/>
      <c r="I7" s="6" t="s">
        <v>28</v>
      </c>
      <c r="J7" s="118"/>
      <c r="K7" s="6" t="s">
        <v>29</v>
      </c>
      <c r="L7" s="118"/>
      <c r="M7" s="1" t="s">
        <v>30</v>
      </c>
      <c r="N7" s="118"/>
      <c r="O7" s="7">
        <v>4</v>
      </c>
    </row>
    <row r="8" spans="1:29" ht="14.4" thickBot="1" x14ac:dyDescent="0.3">
      <c r="B8" s="116"/>
      <c r="C8" s="43">
        <v>2021</v>
      </c>
      <c r="D8" s="43">
        <f>X168+X302+X437+U572+S706+S841+X976+X1112</f>
        <v>91</v>
      </c>
      <c r="E8" s="44">
        <f t="shared" si="0"/>
        <v>0.61904761904761907</v>
      </c>
      <c r="G8" s="6" t="s">
        <v>31</v>
      </c>
      <c r="H8" s="118"/>
      <c r="I8" s="6" t="s">
        <v>32</v>
      </c>
      <c r="J8" s="118"/>
      <c r="K8" s="6" t="s">
        <v>33</v>
      </c>
      <c r="L8" s="118"/>
      <c r="M8" s="1" t="s">
        <v>34</v>
      </c>
      <c r="N8" s="118"/>
      <c r="O8" s="7">
        <v>5</v>
      </c>
    </row>
    <row r="9" spans="1:29" ht="14.4" thickBot="1" x14ac:dyDescent="0.3">
      <c r="B9" s="116"/>
      <c r="C9" s="43">
        <v>2022</v>
      </c>
      <c r="D9" s="43">
        <f>X169+X303+X438+U573+S707+S842+X977+X1113</f>
        <v>96</v>
      </c>
      <c r="E9" s="44">
        <f t="shared" si="0"/>
        <v>0.65306122448979587</v>
      </c>
      <c r="G9" s="6" t="s">
        <v>35</v>
      </c>
      <c r="H9" s="118"/>
      <c r="I9" s="6" t="s">
        <v>36</v>
      </c>
      <c r="J9" s="118"/>
      <c r="K9" s="6" t="s">
        <v>37</v>
      </c>
      <c r="L9" s="118"/>
      <c r="M9" s="1" t="s">
        <v>38</v>
      </c>
      <c r="N9" s="118"/>
      <c r="O9" s="7">
        <v>6</v>
      </c>
    </row>
    <row r="10" spans="1:29" s="38" customFormat="1" ht="14.4" thickBot="1" x14ac:dyDescent="0.3">
      <c r="B10" s="46"/>
      <c r="C10" s="42" t="s">
        <v>219</v>
      </c>
      <c r="D10" s="42">
        <f>SUM(D5:D9)/5</f>
        <v>87.2</v>
      </c>
      <c r="E10" s="47">
        <f>SUM(E5:E9)/5</f>
        <v>0.5931972789115646</v>
      </c>
      <c r="G10" s="39"/>
      <c r="H10" s="118"/>
      <c r="I10" s="39"/>
      <c r="J10" s="118"/>
      <c r="K10" s="39"/>
      <c r="L10" s="118"/>
      <c r="M10" s="40"/>
      <c r="N10" s="118"/>
      <c r="O10" s="41"/>
    </row>
    <row r="11" spans="1:29" ht="14.4" thickBot="1" x14ac:dyDescent="0.3">
      <c r="B11" s="115" t="s">
        <v>39</v>
      </c>
      <c r="C11" s="43">
        <v>2018</v>
      </c>
      <c r="D11" s="43">
        <f>X170+X304+X439+U574+S708+S843+X978+X1114</f>
        <v>84</v>
      </c>
      <c r="E11" s="44">
        <f t="shared" si="0"/>
        <v>0.5714285714285714</v>
      </c>
      <c r="G11" s="6" t="s">
        <v>40</v>
      </c>
      <c r="H11" s="118"/>
      <c r="I11" s="6" t="s">
        <v>41</v>
      </c>
      <c r="J11" s="118"/>
      <c r="K11" s="6" t="s">
        <v>42</v>
      </c>
      <c r="L11" s="118"/>
      <c r="M11" s="1" t="s">
        <v>43</v>
      </c>
      <c r="N11" s="118"/>
      <c r="O11" s="7">
        <v>7</v>
      </c>
    </row>
    <row r="12" spans="1:29" ht="14.4" thickBot="1" x14ac:dyDescent="0.3">
      <c r="B12" s="116"/>
      <c r="C12" s="43">
        <v>2019</v>
      </c>
      <c r="D12" s="43">
        <f>X171+X305+X440+U575+S709+S844+X979+X1115</f>
        <v>71</v>
      </c>
      <c r="E12" s="44">
        <f t="shared" si="0"/>
        <v>0.48299319727891155</v>
      </c>
      <c r="G12" s="6" t="s">
        <v>44</v>
      </c>
      <c r="H12" s="118"/>
      <c r="I12" s="6" t="s">
        <v>45</v>
      </c>
      <c r="J12" s="118"/>
      <c r="K12" s="6" t="s">
        <v>46</v>
      </c>
      <c r="L12" s="118"/>
      <c r="M12" s="1" t="s">
        <v>47</v>
      </c>
      <c r="N12" s="118"/>
      <c r="O12" s="7">
        <v>8</v>
      </c>
    </row>
    <row r="13" spans="1:29" ht="14.4" thickBot="1" x14ac:dyDescent="0.3">
      <c r="B13" s="116"/>
      <c r="C13" s="43">
        <v>2020</v>
      </c>
      <c r="D13" s="43">
        <f>X172+X306+X441+U576+S710+S845+X980+X1116</f>
        <v>85</v>
      </c>
      <c r="E13" s="44">
        <f t="shared" si="0"/>
        <v>0.57823129251700678</v>
      </c>
      <c r="G13" s="6" t="s">
        <v>48</v>
      </c>
      <c r="H13" s="118"/>
      <c r="I13" s="6" t="s">
        <v>49</v>
      </c>
      <c r="J13" s="118"/>
      <c r="K13" s="6" t="s">
        <v>50</v>
      </c>
      <c r="L13" s="118"/>
      <c r="M13" s="1" t="s">
        <v>51</v>
      </c>
      <c r="N13" s="118"/>
      <c r="O13" s="7">
        <v>9</v>
      </c>
    </row>
    <row r="14" spans="1:29" ht="14.4" thickBot="1" x14ac:dyDescent="0.3">
      <c r="B14" s="116"/>
      <c r="C14" s="43">
        <v>2021</v>
      </c>
      <c r="D14" s="43">
        <f>X173+X307+X442+U577+S711+S846+X981+X1117</f>
        <v>84</v>
      </c>
      <c r="E14" s="44">
        <f t="shared" si="0"/>
        <v>0.5714285714285714</v>
      </c>
      <c r="G14" s="6" t="s">
        <v>52</v>
      </c>
      <c r="H14" s="118"/>
      <c r="I14" s="6" t="s">
        <v>53</v>
      </c>
      <c r="J14" s="118"/>
      <c r="K14" s="6" t="s">
        <v>54</v>
      </c>
      <c r="L14" s="118"/>
      <c r="M14" s="1" t="s">
        <v>55</v>
      </c>
      <c r="N14" s="118"/>
      <c r="O14" s="7">
        <v>10</v>
      </c>
    </row>
    <row r="15" spans="1:29" ht="14.4" thickBot="1" x14ac:dyDescent="0.3">
      <c r="B15" s="116"/>
      <c r="C15" s="43">
        <v>2022</v>
      </c>
      <c r="D15" s="43">
        <f>X174+X308+X443+U578+S712+S847+X982+X1118</f>
        <v>78</v>
      </c>
      <c r="E15" s="44">
        <f t="shared" si="0"/>
        <v>0.53061224489795922</v>
      </c>
      <c r="G15" s="6" t="s">
        <v>56</v>
      </c>
      <c r="H15" s="118"/>
      <c r="I15" s="6" t="s">
        <v>57</v>
      </c>
      <c r="J15" s="118"/>
      <c r="K15" s="6" t="s">
        <v>58</v>
      </c>
      <c r="L15" s="118"/>
      <c r="M15" s="1" t="s">
        <v>59</v>
      </c>
      <c r="N15" s="118"/>
      <c r="O15" s="7">
        <v>11</v>
      </c>
    </row>
    <row r="16" spans="1:29" s="38" customFormat="1" ht="14.4" thickBot="1" x14ac:dyDescent="0.3">
      <c r="B16" s="46"/>
      <c r="C16" s="42" t="s">
        <v>219</v>
      </c>
      <c r="D16" s="42">
        <f>SUM(D11:D15)/5</f>
        <v>80.400000000000006</v>
      </c>
      <c r="E16" s="47">
        <f>SUM(E11:E15)/5</f>
        <v>0.54693877551020409</v>
      </c>
      <c r="G16" s="39"/>
      <c r="H16" s="118"/>
      <c r="I16" s="39"/>
      <c r="J16" s="118"/>
      <c r="K16" s="39"/>
      <c r="L16" s="118"/>
      <c r="M16" s="40"/>
      <c r="N16" s="118"/>
      <c r="O16" s="41"/>
    </row>
    <row r="17" spans="2:15" ht="14.4" thickBot="1" x14ac:dyDescent="0.3">
      <c r="B17" s="115" t="s">
        <v>60</v>
      </c>
      <c r="C17" s="43">
        <v>2018</v>
      </c>
      <c r="D17" s="43">
        <f>X175+X309+X444+U579+S713+S848+X983+X1119</f>
        <v>82</v>
      </c>
      <c r="E17" s="44">
        <f t="shared" si="0"/>
        <v>0.55782312925170063</v>
      </c>
      <c r="G17" s="6" t="s">
        <v>61</v>
      </c>
      <c r="H17" s="118"/>
      <c r="I17" s="6" t="s">
        <v>62</v>
      </c>
      <c r="J17" s="118"/>
      <c r="K17" s="6" t="s">
        <v>63</v>
      </c>
      <c r="L17" s="118"/>
      <c r="M17" s="1" t="s">
        <v>64</v>
      </c>
      <c r="N17" s="118"/>
      <c r="O17" s="7">
        <v>12</v>
      </c>
    </row>
    <row r="18" spans="2:15" ht="14.4" thickBot="1" x14ac:dyDescent="0.3">
      <c r="B18" s="116"/>
      <c r="C18" s="43">
        <v>2019</v>
      </c>
      <c r="D18" s="43">
        <f>X176+X310+X445+U580+S714+S849+X984+X1120</f>
        <v>78</v>
      </c>
      <c r="E18" s="44">
        <f t="shared" si="0"/>
        <v>0.53061224489795922</v>
      </c>
      <c r="G18" s="6" t="s">
        <v>65</v>
      </c>
      <c r="H18" s="118"/>
      <c r="I18" s="6" t="s">
        <v>66</v>
      </c>
      <c r="J18" s="118"/>
      <c r="K18" s="6" t="s">
        <v>67</v>
      </c>
      <c r="L18" s="118"/>
      <c r="M18" s="1" t="s">
        <v>68</v>
      </c>
      <c r="N18" s="118"/>
      <c r="O18" s="7">
        <v>13</v>
      </c>
    </row>
    <row r="19" spans="2:15" ht="14.4" thickBot="1" x14ac:dyDescent="0.3">
      <c r="B19" s="116"/>
      <c r="C19" s="43">
        <v>2020</v>
      </c>
      <c r="D19" s="43">
        <f>X177+X311+X446+U581+S715+S850+X985+X1121</f>
        <v>79</v>
      </c>
      <c r="E19" s="44">
        <f t="shared" si="0"/>
        <v>0.5374149659863946</v>
      </c>
      <c r="G19" s="6" t="s">
        <v>69</v>
      </c>
      <c r="H19" s="118"/>
      <c r="I19" s="6" t="s">
        <v>70</v>
      </c>
      <c r="J19" s="118"/>
      <c r="K19" s="6" t="s">
        <v>71</v>
      </c>
      <c r="L19" s="118"/>
      <c r="M19" s="1" t="s">
        <v>72</v>
      </c>
      <c r="N19" s="118"/>
      <c r="O19" s="7">
        <v>14</v>
      </c>
    </row>
    <row r="20" spans="2:15" ht="14.4" thickBot="1" x14ac:dyDescent="0.3">
      <c r="B20" s="116"/>
      <c r="C20" s="43">
        <v>2021</v>
      </c>
      <c r="D20" s="43">
        <f>X178+X312+X447+U582+S716+S851+X986+X1122</f>
        <v>76</v>
      </c>
      <c r="E20" s="44">
        <f t="shared" si="0"/>
        <v>0.51700680272108845</v>
      </c>
      <c r="G20" s="6" t="s">
        <v>73</v>
      </c>
      <c r="H20" s="118"/>
      <c r="I20" s="6" t="s">
        <v>74</v>
      </c>
      <c r="J20" s="118"/>
      <c r="K20" s="6" t="s">
        <v>75</v>
      </c>
      <c r="L20" s="118"/>
      <c r="M20" s="1" t="s">
        <v>76</v>
      </c>
      <c r="N20" s="118"/>
      <c r="O20" s="7">
        <v>15</v>
      </c>
    </row>
    <row r="21" spans="2:15" ht="14.4" thickBot="1" x14ac:dyDescent="0.3">
      <c r="B21" s="116"/>
      <c r="C21" s="43">
        <v>2022</v>
      </c>
      <c r="D21" s="43">
        <f>X179+X313+X448+U583+S717+S852+X987+X1123</f>
        <v>91</v>
      </c>
      <c r="E21" s="44">
        <f t="shared" si="0"/>
        <v>0.61904761904761907</v>
      </c>
      <c r="G21" s="6" t="s">
        <v>77</v>
      </c>
      <c r="H21" s="118"/>
      <c r="I21" s="6" t="s">
        <v>78</v>
      </c>
      <c r="J21" s="118"/>
      <c r="K21" s="6" t="s">
        <v>79</v>
      </c>
      <c r="L21" s="118"/>
      <c r="M21" s="1" t="s">
        <v>80</v>
      </c>
      <c r="N21" s="118"/>
      <c r="O21" s="7">
        <v>16</v>
      </c>
    </row>
    <row r="22" spans="2:15" s="38" customFormat="1" ht="14.4" thickBot="1" x14ac:dyDescent="0.3">
      <c r="B22" s="46"/>
      <c r="C22" s="42" t="s">
        <v>219</v>
      </c>
      <c r="D22" s="42">
        <f>SUM(D17:D21)/5</f>
        <v>81.2</v>
      </c>
      <c r="E22" s="47">
        <f>SUM(E17:E21)/5</f>
        <v>0.55238095238095242</v>
      </c>
      <c r="G22" s="39"/>
      <c r="H22" s="118"/>
      <c r="I22" s="39"/>
      <c r="J22" s="118"/>
      <c r="K22" s="39"/>
      <c r="L22" s="118"/>
      <c r="M22" s="40"/>
      <c r="N22" s="118"/>
      <c r="O22" s="41"/>
    </row>
    <row r="23" spans="2:15" ht="14.4" thickBot="1" x14ac:dyDescent="0.3">
      <c r="B23" s="115" t="s">
        <v>81</v>
      </c>
      <c r="C23" s="43">
        <v>2018</v>
      </c>
      <c r="D23" s="43">
        <f>X180+X314+X449+U584+S718+S853+X988+X1124</f>
        <v>83</v>
      </c>
      <c r="E23" s="44">
        <f t="shared" si="0"/>
        <v>0.56462585034013602</v>
      </c>
      <c r="G23" s="6" t="s">
        <v>82</v>
      </c>
      <c r="H23" s="118"/>
      <c r="I23" s="6" t="s">
        <v>83</v>
      </c>
      <c r="J23" s="118"/>
      <c r="K23" s="6" t="s">
        <v>84</v>
      </c>
      <c r="L23" s="118"/>
      <c r="M23" s="1" t="s">
        <v>85</v>
      </c>
      <c r="N23" s="118"/>
      <c r="O23" s="7">
        <v>17</v>
      </c>
    </row>
    <row r="24" spans="2:15" ht="14.4" thickBot="1" x14ac:dyDescent="0.3">
      <c r="B24" s="116"/>
      <c r="C24" s="43">
        <v>2019</v>
      </c>
      <c r="D24" s="43">
        <f>X181+X315+X450+U585+S719+S854+X989+X1125</f>
        <v>90</v>
      </c>
      <c r="E24" s="44">
        <f t="shared" si="0"/>
        <v>0.61224489795918369</v>
      </c>
      <c r="G24" s="6" t="s">
        <v>86</v>
      </c>
      <c r="H24" s="118"/>
      <c r="I24" s="6"/>
      <c r="J24" s="118"/>
      <c r="K24" s="6" t="s">
        <v>87</v>
      </c>
      <c r="L24" s="118"/>
      <c r="M24" s="1" t="s">
        <v>88</v>
      </c>
      <c r="N24" s="118"/>
      <c r="O24" s="7">
        <v>18</v>
      </c>
    </row>
    <row r="25" spans="2:15" ht="14.4" thickBot="1" x14ac:dyDescent="0.3">
      <c r="B25" s="116"/>
      <c r="C25" s="43">
        <v>2020</v>
      </c>
      <c r="D25" s="43">
        <f>X182+X316+X451+U586+S720+S855+X990+X1126</f>
        <v>74</v>
      </c>
      <c r="E25" s="44">
        <f t="shared" si="0"/>
        <v>0.50340136054421769</v>
      </c>
      <c r="G25" s="6" t="s">
        <v>89</v>
      </c>
      <c r="H25" s="118"/>
      <c r="I25" s="6"/>
      <c r="J25" s="118"/>
      <c r="K25" s="6" t="s">
        <v>90</v>
      </c>
      <c r="L25" s="118"/>
      <c r="M25" s="1" t="s">
        <v>91</v>
      </c>
      <c r="N25" s="118"/>
      <c r="O25" s="7">
        <v>19</v>
      </c>
    </row>
    <row r="26" spans="2:15" ht="14.4" thickBot="1" x14ac:dyDescent="0.3">
      <c r="B26" s="116"/>
      <c r="C26" s="43">
        <v>2021</v>
      </c>
      <c r="D26" s="43">
        <f>X183+X317+X452+U587+S721+S856+X991+X1127</f>
        <v>77</v>
      </c>
      <c r="E26" s="44">
        <f t="shared" si="0"/>
        <v>0.52380952380952384</v>
      </c>
      <c r="G26" s="6" t="s">
        <v>92</v>
      </c>
      <c r="H26" s="118"/>
      <c r="I26" s="6"/>
      <c r="J26" s="118"/>
      <c r="K26" s="6" t="s">
        <v>93</v>
      </c>
      <c r="L26" s="118"/>
      <c r="M26" s="1" t="s">
        <v>94</v>
      </c>
      <c r="N26" s="118"/>
      <c r="O26" s="7">
        <v>20</v>
      </c>
    </row>
    <row r="27" spans="2:15" ht="14.4" thickBot="1" x14ac:dyDescent="0.3">
      <c r="B27" s="116"/>
      <c r="C27" s="43">
        <v>2022</v>
      </c>
      <c r="D27" s="43">
        <f>X184+X318+X453+U588+S722+S857+X992+X1128</f>
        <v>82</v>
      </c>
      <c r="E27" s="44">
        <f t="shared" si="0"/>
        <v>0.55782312925170063</v>
      </c>
      <c r="G27" s="6" t="s">
        <v>95</v>
      </c>
      <c r="H27" s="118"/>
      <c r="I27" s="6"/>
      <c r="J27" s="118"/>
      <c r="K27" s="6" t="s">
        <v>96</v>
      </c>
      <c r="L27" s="118"/>
      <c r="M27" s="1" t="s">
        <v>97</v>
      </c>
      <c r="N27" s="118"/>
      <c r="O27" s="7">
        <v>21</v>
      </c>
    </row>
    <row r="28" spans="2:15" s="38" customFormat="1" ht="14.4" thickBot="1" x14ac:dyDescent="0.3">
      <c r="B28" s="46"/>
      <c r="C28" s="42" t="s">
        <v>219</v>
      </c>
      <c r="D28" s="42">
        <f>SUM(D23:D27)/5</f>
        <v>81.2</v>
      </c>
      <c r="E28" s="47">
        <f>SUM(E23:E27)/5</f>
        <v>0.55238095238095242</v>
      </c>
      <c r="G28" s="39"/>
      <c r="H28" s="118"/>
      <c r="I28" s="39"/>
      <c r="J28"/>
      <c r="K28" s="39"/>
      <c r="L28" s="118"/>
      <c r="M28" s="40"/>
      <c r="N28" s="118"/>
      <c r="O28" s="41"/>
    </row>
    <row r="29" spans="2:15" ht="14.4" thickBot="1" x14ac:dyDescent="0.3">
      <c r="B29" s="115" t="s">
        <v>98</v>
      </c>
      <c r="C29" s="43">
        <v>2018</v>
      </c>
      <c r="D29" s="43">
        <f>X185+X319+X454+U589+S723+S858+X993+X1129</f>
        <v>82</v>
      </c>
      <c r="E29" s="44">
        <f t="shared" si="0"/>
        <v>0.55782312925170063</v>
      </c>
      <c r="G29" s="6" t="s">
        <v>99</v>
      </c>
      <c r="H29" s="118"/>
      <c r="I29" s="2"/>
      <c r="J29" s="2"/>
      <c r="K29" s="6" t="s">
        <v>100</v>
      </c>
      <c r="L29" s="118"/>
      <c r="M29" s="1" t="s">
        <v>101</v>
      </c>
      <c r="N29" s="118"/>
      <c r="O29" s="7">
        <v>22</v>
      </c>
    </row>
    <row r="30" spans="2:15" ht="14.4" thickBot="1" x14ac:dyDescent="0.3">
      <c r="B30" s="116"/>
      <c r="C30" s="43">
        <v>2019</v>
      </c>
      <c r="D30" s="43">
        <f>X186+X320+X455+U590+S724+S859+X994+X1130</f>
        <v>72</v>
      </c>
      <c r="E30" s="44">
        <f t="shared" si="0"/>
        <v>0.48979591836734693</v>
      </c>
      <c r="G30" s="6" t="s">
        <v>102</v>
      </c>
      <c r="H30" s="118"/>
      <c r="I30" s="2"/>
      <c r="J30" s="2"/>
      <c r="K30" s="6" t="s">
        <v>103</v>
      </c>
      <c r="L30" s="118"/>
      <c r="M30" s="1" t="s">
        <v>104</v>
      </c>
      <c r="N30" s="118"/>
      <c r="O30" s="7">
        <v>23</v>
      </c>
    </row>
    <row r="31" spans="2:15" ht="14.4" thickBot="1" x14ac:dyDescent="0.3">
      <c r="B31" s="116"/>
      <c r="C31" s="43">
        <v>2020</v>
      </c>
      <c r="D31" s="43">
        <f>X187+X321+X456+U591+S725+S860+X995+X1131</f>
        <v>80</v>
      </c>
      <c r="E31" s="44">
        <f t="shared" si="0"/>
        <v>0.54421768707482998</v>
      </c>
      <c r="G31" s="6" t="s">
        <v>105</v>
      </c>
      <c r="H31" s="118"/>
      <c r="I31" s="2"/>
      <c r="J31" s="2"/>
      <c r="K31" s="6" t="s">
        <v>106</v>
      </c>
      <c r="L31" s="118"/>
      <c r="M31" s="1" t="s">
        <v>107</v>
      </c>
      <c r="N31" s="118"/>
      <c r="O31" s="7">
        <v>24</v>
      </c>
    </row>
    <row r="32" spans="2:15" ht="14.4" thickBot="1" x14ac:dyDescent="0.3">
      <c r="B32" s="116"/>
      <c r="C32" s="43">
        <v>2021</v>
      </c>
      <c r="D32" s="43">
        <f>X188+X322+X457+U592+S726+S861+X996+X1132</f>
        <v>66</v>
      </c>
      <c r="E32" s="44">
        <f t="shared" si="0"/>
        <v>0.44897959183673469</v>
      </c>
      <c r="G32" s="6" t="s">
        <v>108</v>
      </c>
      <c r="H32" s="118"/>
      <c r="I32" s="2"/>
      <c r="J32" s="2"/>
      <c r="K32" s="6" t="s">
        <v>109</v>
      </c>
      <c r="L32" s="118"/>
      <c r="M32" s="1" t="s">
        <v>110</v>
      </c>
      <c r="N32" s="118"/>
      <c r="O32" s="7">
        <v>25</v>
      </c>
    </row>
    <row r="33" spans="2:15" ht="14.4" thickBot="1" x14ac:dyDescent="0.3">
      <c r="B33" s="116"/>
      <c r="C33" s="43">
        <v>2022</v>
      </c>
      <c r="D33" s="43">
        <f>X189+X323+X458+U593+S727+S862+X997+X1133</f>
        <v>80</v>
      </c>
      <c r="E33" s="44">
        <f t="shared" si="0"/>
        <v>0.54421768707482998</v>
      </c>
      <c r="G33" s="6" t="s">
        <v>111</v>
      </c>
      <c r="H33" s="118"/>
      <c r="I33" s="2"/>
      <c r="J33" s="2"/>
      <c r="K33" s="6" t="s">
        <v>112</v>
      </c>
      <c r="L33" s="118"/>
      <c r="M33" s="1" t="s">
        <v>113</v>
      </c>
      <c r="N33" s="118"/>
      <c r="O33" s="7">
        <v>26</v>
      </c>
    </row>
    <row r="34" spans="2:15" s="38" customFormat="1" ht="14.4" thickBot="1" x14ac:dyDescent="0.3">
      <c r="B34" s="46"/>
      <c r="C34" s="42" t="s">
        <v>219</v>
      </c>
      <c r="D34" s="42">
        <f>SUM(D29:D33)/5</f>
        <v>76</v>
      </c>
      <c r="E34" s="47">
        <f>SUM(E29:E33)/5</f>
        <v>0.51700680272108845</v>
      </c>
      <c r="G34" s="39"/>
      <c r="H34" s="118"/>
      <c r="I34" s="39"/>
      <c r="J34" s="2"/>
      <c r="K34" s="39"/>
      <c r="L34" s="118"/>
      <c r="M34" s="40"/>
      <c r="N34" s="118"/>
      <c r="O34" s="41"/>
    </row>
    <row r="35" spans="2:15" ht="14.4" thickBot="1" x14ac:dyDescent="0.3">
      <c r="B35" s="115" t="s">
        <v>114</v>
      </c>
      <c r="C35" s="43">
        <v>2018</v>
      </c>
      <c r="D35" s="43">
        <f>X190+X324+X459+U594+S728+S863+X998+X1134</f>
        <v>89</v>
      </c>
      <c r="E35" s="44">
        <f t="shared" si="0"/>
        <v>0.60544217687074831</v>
      </c>
      <c r="G35" s="6" t="s">
        <v>115</v>
      </c>
      <c r="H35" s="118"/>
      <c r="I35" s="2"/>
      <c r="J35" s="2"/>
      <c r="K35" s="6" t="s">
        <v>116</v>
      </c>
      <c r="L35" s="118"/>
      <c r="M35" s="1" t="s">
        <v>117</v>
      </c>
      <c r="N35" s="118"/>
      <c r="O35" s="7">
        <v>27</v>
      </c>
    </row>
    <row r="36" spans="2:15" ht="14.4" thickBot="1" x14ac:dyDescent="0.3">
      <c r="B36" s="116"/>
      <c r="C36" s="43">
        <v>2019</v>
      </c>
      <c r="D36" s="43">
        <f>X191+X325+X460+U595+S729+S864+X999+X1135</f>
        <v>92</v>
      </c>
      <c r="E36" s="44">
        <f t="shared" si="0"/>
        <v>0.62585034013605445</v>
      </c>
      <c r="G36" s="6" t="s">
        <v>118</v>
      </c>
      <c r="H36" s="118"/>
      <c r="I36" s="2"/>
      <c r="J36" s="2"/>
      <c r="K36" s="6" t="s">
        <v>119</v>
      </c>
      <c r="L36" s="118"/>
      <c r="M36" s="1" t="s">
        <v>120</v>
      </c>
      <c r="N36" s="118"/>
      <c r="O36" s="7">
        <v>28</v>
      </c>
    </row>
    <row r="37" spans="2:15" ht="14.4" thickBot="1" x14ac:dyDescent="0.3">
      <c r="B37" s="116"/>
      <c r="C37" s="43">
        <v>2020</v>
      </c>
      <c r="D37" s="43">
        <f>X192+X326+X461+U596+S730+S865+X1000+X1136</f>
        <v>88</v>
      </c>
      <c r="E37" s="44">
        <f t="shared" si="0"/>
        <v>0.59863945578231292</v>
      </c>
      <c r="G37" s="6" t="s">
        <v>121</v>
      </c>
      <c r="H37" s="118"/>
      <c r="I37" s="2"/>
      <c r="J37" s="2"/>
      <c r="K37" s="6" t="s">
        <v>122</v>
      </c>
      <c r="L37" s="118"/>
      <c r="M37" s="1" t="s">
        <v>123</v>
      </c>
      <c r="N37" s="118"/>
      <c r="O37" s="7">
        <v>29</v>
      </c>
    </row>
    <row r="38" spans="2:15" ht="14.4" thickBot="1" x14ac:dyDescent="0.3">
      <c r="B38" s="116"/>
      <c r="C38" s="43">
        <v>2021</v>
      </c>
      <c r="D38" s="43">
        <f>X193+X327+X462+U597+S731+S866+X1001+X1137</f>
        <v>77</v>
      </c>
      <c r="E38" s="44">
        <f t="shared" si="0"/>
        <v>0.52380952380952384</v>
      </c>
      <c r="G38" s="6" t="s">
        <v>124</v>
      </c>
      <c r="H38" s="118"/>
      <c r="I38" s="2"/>
      <c r="J38" s="2"/>
      <c r="K38" s="6" t="s">
        <v>125</v>
      </c>
      <c r="L38" s="118"/>
      <c r="M38" s="1" t="s">
        <v>126</v>
      </c>
      <c r="N38" s="118"/>
      <c r="O38" s="7">
        <v>30</v>
      </c>
    </row>
    <row r="39" spans="2:15" ht="14.4" thickBot="1" x14ac:dyDescent="0.3">
      <c r="B39" s="116"/>
      <c r="C39" s="43">
        <v>2022</v>
      </c>
      <c r="D39" s="43">
        <f>X194+X328+X463+U598+S732+S867+X1002+X1138</f>
        <v>69</v>
      </c>
      <c r="E39" s="44">
        <f t="shared" si="0"/>
        <v>0.46938775510204084</v>
      </c>
      <c r="G39" s="6" t="s">
        <v>127</v>
      </c>
      <c r="H39" s="118"/>
      <c r="I39" s="2"/>
      <c r="J39" s="2"/>
      <c r="K39" s="2"/>
      <c r="L39" s="2"/>
      <c r="M39" s="1" t="s">
        <v>128</v>
      </c>
      <c r="N39" s="118"/>
      <c r="O39" s="7">
        <v>31</v>
      </c>
    </row>
    <row r="40" spans="2:15" s="38" customFormat="1" ht="14.4" thickBot="1" x14ac:dyDescent="0.3">
      <c r="B40" s="46"/>
      <c r="C40" s="42" t="s">
        <v>219</v>
      </c>
      <c r="D40" s="42">
        <f>SUM(D35:D39)/5</f>
        <v>83</v>
      </c>
      <c r="E40" s="47">
        <f>SUM(E35:E39)/5</f>
        <v>0.56462585034013602</v>
      </c>
      <c r="G40" s="39"/>
      <c r="H40" s="118"/>
      <c r="I40" s="39"/>
      <c r="J40" s="2"/>
      <c r="K40" s="39"/>
      <c r="L40" s="2"/>
      <c r="M40" s="40"/>
      <c r="N40" s="118"/>
      <c r="O40" s="41"/>
    </row>
    <row r="41" spans="2:15" ht="14.4" thickBot="1" x14ac:dyDescent="0.3">
      <c r="B41" s="115" t="s">
        <v>129</v>
      </c>
      <c r="C41" s="43">
        <v>2018</v>
      </c>
      <c r="D41" s="43">
        <f>X195+X329+X464+U599+S733+S868+X1003+X1139</f>
        <v>77</v>
      </c>
      <c r="E41" s="44">
        <f t="shared" si="0"/>
        <v>0.52380952380952384</v>
      </c>
      <c r="G41" s="6" t="s">
        <v>130</v>
      </c>
      <c r="H41" s="118"/>
      <c r="I41" s="2"/>
      <c r="J41" s="2"/>
      <c r="K41" s="2"/>
      <c r="L41" s="2"/>
      <c r="M41" s="1" t="s">
        <v>131</v>
      </c>
      <c r="N41" s="118"/>
      <c r="O41" s="7">
        <v>32</v>
      </c>
    </row>
    <row r="42" spans="2:15" ht="14.4" thickBot="1" x14ac:dyDescent="0.3">
      <c r="B42" s="116"/>
      <c r="C42" s="43">
        <v>2019</v>
      </c>
      <c r="D42" s="43">
        <f>X196+X330+X465+U600+S734+S869+X1004+X1140</f>
        <v>79</v>
      </c>
      <c r="E42" s="44">
        <f t="shared" si="0"/>
        <v>0.5374149659863946</v>
      </c>
      <c r="G42" s="6" t="s">
        <v>132</v>
      </c>
      <c r="H42" s="118"/>
      <c r="I42" s="2"/>
      <c r="J42" s="2"/>
      <c r="K42" s="2"/>
      <c r="L42" s="2"/>
      <c r="M42" s="1" t="s">
        <v>133</v>
      </c>
      <c r="N42" s="118"/>
      <c r="O42" s="7">
        <v>33</v>
      </c>
    </row>
    <row r="43" spans="2:15" ht="14.4" thickBot="1" x14ac:dyDescent="0.3">
      <c r="B43" s="116"/>
      <c r="C43" s="43">
        <v>2020</v>
      </c>
      <c r="D43" s="43">
        <f>X197+X331+X466+U601+S735+S870+X1005+X1141</f>
        <v>72</v>
      </c>
      <c r="E43" s="44">
        <f t="shared" si="0"/>
        <v>0.48979591836734693</v>
      </c>
      <c r="G43" s="6" t="s">
        <v>134</v>
      </c>
      <c r="H43" s="118"/>
      <c r="I43" s="2"/>
      <c r="J43" s="2"/>
      <c r="K43" s="2"/>
      <c r="L43" s="2"/>
      <c r="M43" s="1" t="s">
        <v>135</v>
      </c>
      <c r="N43" s="118"/>
      <c r="O43" s="7">
        <v>34</v>
      </c>
    </row>
    <row r="44" spans="2:15" ht="14.4" thickBot="1" x14ac:dyDescent="0.3">
      <c r="B44" s="116"/>
      <c r="C44" s="43">
        <v>2021</v>
      </c>
      <c r="D44" s="43">
        <f>X198+X332+X467+U602+S736+S871+X1006+X1142</f>
        <v>67</v>
      </c>
      <c r="E44" s="44">
        <f t="shared" si="0"/>
        <v>0.45578231292517007</v>
      </c>
      <c r="G44" s="6" t="s">
        <v>136</v>
      </c>
      <c r="H44" s="118"/>
      <c r="I44" s="2"/>
      <c r="J44" s="2"/>
      <c r="K44" s="2"/>
      <c r="L44" s="2"/>
      <c r="M44" s="1" t="s">
        <v>137</v>
      </c>
      <c r="N44" s="118"/>
      <c r="O44" s="7">
        <v>35</v>
      </c>
    </row>
    <row r="45" spans="2:15" ht="14.4" thickBot="1" x14ac:dyDescent="0.3">
      <c r="B45" s="116"/>
      <c r="C45" s="43">
        <v>2022</v>
      </c>
      <c r="D45" s="43">
        <f>X199+X333+X468+U603+S737+S872+X1007+X1143</f>
        <v>79</v>
      </c>
      <c r="E45" s="44">
        <f t="shared" si="0"/>
        <v>0.5374149659863946</v>
      </c>
      <c r="G45" s="6" t="s">
        <v>138</v>
      </c>
      <c r="H45" s="118"/>
      <c r="I45" s="2"/>
      <c r="J45" s="2"/>
      <c r="K45" s="2"/>
      <c r="L45" s="2"/>
      <c r="M45" s="1" t="s">
        <v>139</v>
      </c>
      <c r="N45" s="118"/>
      <c r="O45" s="7">
        <v>36</v>
      </c>
    </row>
    <row r="46" spans="2:15" s="38" customFormat="1" ht="14.4" thickBot="1" x14ac:dyDescent="0.3">
      <c r="B46" s="46"/>
      <c r="C46" s="42" t="s">
        <v>219</v>
      </c>
      <c r="D46" s="42">
        <f>SUM(D41:D45)/5</f>
        <v>74.8</v>
      </c>
      <c r="E46" s="47">
        <f>SUM(E41:E45)/5</f>
        <v>0.50884353741496591</v>
      </c>
      <c r="G46" s="39"/>
      <c r="H46" s="118"/>
      <c r="I46" s="39"/>
      <c r="J46" s="2"/>
      <c r="K46" s="39"/>
      <c r="L46" s="2"/>
      <c r="M46" s="40"/>
      <c r="N46" s="118"/>
      <c r="O46" s="41"/>
    </row>
    <row r="47" spans="2:15" ht="14.4" thickBot="1" x14ac:dyDescent="0.3">
      <c r="B47" s="115" t="s">
        <v>140</v>
      </c>
      <c r="C47" s="43">
        <v>2018</v>
      </c>
      <c r="D47" s="43">
        <f>X200+X334+X469+U604+S738+S873+X1008+X1144</f>
        <v>76</v>
      </c>
      <c r="E47" s="44">
        <f t="shared" si="0"/>
        <v>0.51700680272108845</v>
      </c>
      <c r="G47" s="6" t="s">
        <v>141</v>
      </c>
      <c r="H47" s="118"/>
      <c r="I47" s="2"/>
      <c r="J47" s="2"/>
      <c r="K47" s="2"/>
      <c r="L47" s="2"/>
      <c r="M47" s="1" t="s">
        <v>142</v>
      </c>
      <c r="N47" s="118"/>
      <c r="O47" s="7">
        <v>37</v>
      </c>
    </row>
    <row r="48" spans="2:15" ht="14.4" thickBot="1" x14ac:dyDescent="0.3">
      <c r="B48" s="116"/>
      <c r="C48" s="43">
        <v>2019</v>
      </c>
      <c r="D48" s="43">
        <f>X201+X335+X470+U605+S739+S874+X1009+X1145</f>
        <v>69</v>
      </c>
      <c r="E48" s="44">
        <f t="shared" si="0"/>
        <v>0.46938775510204084</v>
      </c>
      <c r="G48" s="6" t="s">
        <v>143</v>
      </c>
      <c r="H48" s="118"/>
      <c r="I48" s="2"/>
      <c r="J48" s="2"/>
      <c r="K48" s="2"/>
      <c r="L48" s="2"/>
      <c r="M48" s="1" t="s">
        <v>144</v>
      </c>
      <c r="N48" s="118"/>
      <c r="O48" s="7">
        <v>38</v>
      </c>
    </row>
    <row r="49" spans="2:15" ht="14.4" thickBot="1" x14ac:dyDescent="0.3">
      <c r="B49" s="116"/>
      <c r="C49" s="43">
        <v>2020</v>
      </c>
      <c r="D49" s="43">
        <f>X202+X336+X471+U606+S740+S875+X1010+X1146</f>
        <v>76</v>
      </c>
      <c r="E49" s="44">
        <f t="shared" si="0"/>
        <v>0.51700680272108845</v>
      </c>
      <c r="G49" s="6" t="s">
        <v>145</v>
      </c>
      <c r="H49" s="118"/>
      <c r="I49" s="2"/>
      <c r="J49" s="2"/>
      <c r="K49" s="2"/>
      <c r="L49" s="2"/>
      <c r="M49" s="1" t="s">
        <v>146</v>
      </c>
      <c r="N49" s="118"/>
      <c r="O49" s="7">
        <v>39</v>
      </c>
    </row>
    <row r="50" spans="2:15" ht="14.4" thickBot="1" x14ac:dyDescent="0.3">
      <c r="B50" s="116"/>
      <c r="C50" s="43">
        <v>2021</v>
      </c>
      <c r="D50" s="43">
        <f>X203+X337+X472+U607+S741+S876+X1011+X1147</f>
        <v>64</v>
      </c>
      <c r="E50" s="44">
        <f t="shared" si="0"/>
        <v>0.43537414965986393</v>
      </c>
      <c r="G50" s="6" t="s">
        <v>147</v>
      </c>
      <c r="H50" s="118"/>
      <c r="I50" s="2"/>
      <c r="J50" s="2"/>
      <c r="K50" s="2"/>
      <c r="L50" s="2"/>
      <c r="M50" s="1" t="s">
        <v>148</v>
      </c>
      <c r="N50" s="118"/>
      <c r="O50" s="7">
        <v>40</v>
      </c>
    </row>
    <row r="51" spans="2:15" ht="14.4" thickBot="1" x14ac:dyDescent="0.3">
      <c r="B51" s="116"/>
      <c r="C51" s="43">
        <v>2022</v>
      </c>
      <c r="D51" s="43">
        <f>X204+X338+X473+U608+S742+S877+X1012+X1148</f>
        <v>89</v>
      </c>
      <c r="E51" s="44">
        <f t="shared" si="0"/>
        <v>0.60544217687074831</v>
      </c>
      <c r="G51" s="6" t="s">
        <v>149</v>
      </c>
      <c r="H51" s="118"/>
      <c r="I51" s="2"/>
      <c r="J51" s="2"/>
      <c r="K51" s="2"/>
      <c r="L51" s="2"/>
      <c r="M51" s="2"/>
      <c r="O51" s="7">
        <v>41</v>
      </c>
    </row>
    <row r="52" spans="2:15" s="38" customFormat="1" ht="14.4" thickBot="1" x14ac:dyDescent="0.3">
      <c r="B52" s="46"/>
      <c r="C52" s="42" t="s">
        <v>219</v>
      </c>
      <c r="D52" s="42">
        <f>SUM(D47:D51)/5</f>
        <v>74.8</v>
      </c>
      <c r="E52" s="47">
        <f>SUM(E47:E51)/5</f>
        <v>0.50884353741496602</v>
      </c>
      <c r="G52" s="39"/>
      <c r="H52" s="118"/>
      <c r="I52" s="39"/>
      <c r="J52" s="2"/>
      <c r="K52" s="39"/>
      <c r="L52" s="2"/>
      <c r="M52" s="40"/>
      <c r="N52"/>
      <c r="O52" s="41"/>
    </row>
    <row r="53" spans="2:15" ht="14.4" thickBot="1" x14ac:dyDescent="0.3">
      <c r="B53" s="115" t="s">
        <v>150</v>
      </c>
      <c r="C53" s="43">
        <v>2018</v>
      </c>
      <c r="D53" s="43">
        <f>X205+X339+X474+U609+S743+S878+X1013+X1149</f>
        <v>81</v>
      </c>
      <c r="E53" s="44">
        <f t="shared" si="0"/>
        <v>0.55102040816326525</v>
      </c>
      <c r="G53" s="6" t="s">
        <v>151</v>
      </c>
      <c r="H53" s="118"/>
      <c r="I53" s="2"/>
      <c r="J53" s="2"/>
      <c r="K53" s="2"/>
      <c r="L53" s="2"/>
      <c r="M53" s="2"/>
      <c r="O53" s="7">
        <v>42</v>
      </c>
    </row>
    <row r="54" spans="2:15" ht="14.4" thickBot="1" x14ac:dyDescent="0.3">
      <c r="B54" s="116"/>
      <c r="C54" s="43">
        <v>2019</v>
      </c>
      <c r="D54" s="43">
        <f>X206+X340+X475+U610+S744+S879+X1014+X1150</f>
        <v>82</v>
      </c>
      <c r="E54" s="44">
        <f t="shared" si="0"/>
        <v>0.55782312925170063</v>
      </c>
      <c r="G54" s="6" t="s">
        <v>152</v>
      </c>
      <c r="H54" s="118"/>
      <c r="I54" s="2"/>
      <c r="J54" s="2"/>
      <c r="K54" s="2"/>
      <c r="L54" s="2"/>
      <c r="M54" s="2"/>
      <c r="O54" s="7">
        <v>43</v>
      </c>
    </row>
    <row r="55" spans="2:15" ht="14.4" thickBot="1" x14ac:dyDescent="0.3">
      <c r="B55" s="116"/>
      <c r="C55" s="43">
        <v>2020</v>
      </c>
      <c r="D55" s="43">
        <f>X207+X341+X476+U611+S745+S880+X1015+X1151</f>
        <v>77</v>
      </c>
      <c r="E55" s="44">
        <f t="shared" si="0"/>
        <v>0.52380952380952384</v>
      </c>
      <c r="G55" s="6" t="s">
        <v>153</v>
      </c>
      <c r="H55" s="118"/>
      <c r="I55" s="2"/>
      <c r="J55" s="2"/>
      <c r="K55" s="2"/>
      <c r="L55" s="2"/>
      <c r="M55" s="2"/>
      <c r="O55" s="7">
        <v>44</v>
      </c>
    </row>
    <row r="56" spans="2:15" ht="14.4" thickBot="1" x14ac:dyDescent="0.3">
      <c r="B56" s="116"/>
      <c r="C56" s="43">
        <v>2021</v>
      </c>
      <c r="D56" s="43">
        <f>X208+X342+X477+U612+S746+S881+X1016+X1152</f>
        <v>86</v>
      </c>
      <c r="E56" s="44">
        <f t="shared" si="0"/>
        <v>0.58503401360544216</v>
      </c>
      <c r="G56" s="6" t="s">
        <v>154</v>
      </c>
      <c r="H56" s="118"/>
      <c r="I56" s="2"/>
      <c r="J56" s="2"/>
      <c r="K56" s="2"/>
      <c r="L56" s="2"/>
      <c r="M56" s="2"/>
      <c r="O56" s="7">
        <v>45</v>
      </c>
    </row>
    <row r="57" spans="2:15" ht="14.4" thickBot="1" x14ac:dyDescent="0.3">
      <c r="B57" s="116"/>
      <c r="C57" s="43">
        <v>2022</v>
      </c>
      <c r="D57" s="43">
        <f>X209+X343+X478+U613+S747+S882+X1017+X1153</f>
        <v>78</v>
      </c>
      <c r="E57" s="44">
        <f t="shared" si="0"/>
        <v>0.53061224489795922</v>
      </c>
      <c r="G57" s="6" t="s">
        <v>155</v>
      </c>
      <c r="H57" s="118"/>
      <c r="I57" s="2"/>
      <c r="J57" s="2"/>
      <c r="K57" s="2"/>
      <c r="L57" s="2"/>
      <c r="M57" s="2"/>
      <c r="O57" s="7">
        <v>46</v>
      </c>
    </row>
    <row r="58" spans="2:15" s="38" customFormat="1" ht="14.4" thickBot="1" x14ac:dyDescent="0.3">
      <c r="B58" s="46"/>
      <c r="C58" s="42" t="s">
        <v>219</v>
      </c>
      <c r="D58" s="42">
        <f>SUM(D53:D57)/5</f>
        <v>80.8</v>
      </c>
      <c r="E58" s="47">
        <f>SUM(E53:E57)/5</f>
        <v>0.54965986394557831</v>
      </c>
      <c r="G58" s="39"/>
      <c r="H58" s="118"/>
      <c r="I58" s="39"/>
      <c r="J58" s="2"/>
      <c r="K58" s="39"/>
      <c r="L58" s="2"/>
      <c r="M58" s="40"/>
      <c r="N58"/>
      <c r="O58" s="41"/>
    </row>
    <row r="59" spans="2:15" ht="14.4" thickBot="1" x14ac:dyDescent="0.3">
      <c r="B59" s="115" t="s">
        <v>156</v>
      </c>
      <c r="C59" s="43">
        <v>2018</v>
      </c>
      <c r="D59" s="43">
        <f>X210+X344+X479+U614+S748+S883+X1018+X1154</f>
        <v>85</v>
      </c>
      <c r="E59" s="44">
        <f t="shared" si="0"/>
        <v>0.57823129251700678</v>
      </c>
      <c r="G59" s="6" t="s">
        <v>157</v>
      </c>
      <c r="H59" s="118"/>
      <c r="I59" s="2"/>
      <c r="J59" s="2"/>
      <c r="K59" s="2"/>
      <c r="L59" s="2"/>
      <c r="M59" s="2"/>
      <c r="O59" s="7">
        <v>47</v>
      </c>
    </row>
    <row r="60" spans="2:15" ht="14.4" thickBot="1" x14ac:dyDescent="0.3">
      <c r="B60" s="116"/>
      <c r="C60" s="43">
        <v>2019</v>
      </c>
      <c r="D60" s="43">
        <f>X211+X345+X480+U615+S749+S884+X1019+X1155</f>
        <v>68</v>
      </c>
      <c r="E60" s="44">
        <f t="shared" si="0"/>
        <v>0.46258503401360546</v>
      </c>
      <c r="G60" s="6" t="s">
        <v>158</v>
      </c>
      <c r="H60" s="118"/>
      <c r="I60" s="2"/>
      <c r="J60" s="2"/>
      <c r="K60" s="2"/>
      <c r="L60" s="2"/>
      <c r="M60" s="2"/>
      <c r="O60" s="7">
        <v>48</v>
      </c>
    </row>
    <row r="61" spans="2:15" ht="14.4" thickBot="1" x14ac:dyDescent="0.3">
      <c r="B61" s="116"/>
      <c r="C61" s="43">
        <v>2020</v>
      </c>
      <c r="D61" s="43">
        <f>X212+X346+X481+U616+S750+S885+X1020+X1156</f>
        <v>70</v>
      </c>
      <c r="E61" s="44">
        <f t="shared" si="0"/>
        <v>0.47619047619047616</v>
      </c>
      <c r="G61" s="6" t="s">
        <v>159</v>
      </c>
      <c r="H61" s="118"/>
      <c r="I61" s="2"/>
      <c r="J61" s="2"/>
      <c r="K61" s="2"/>
      <c r="L61" s="2"/>
      <c r="M61" s="2"/>
      <c r="O61" s="7">
        <v>49</v>
      </c>
    </row>
    <row r="62" spans="2:15" ht="14.4" thickBot="1" x14ac:dyDescent="0.3">
      <c r="B62" s="116"/>
      <c r="C62" s="43">
        <v>2021</v>
      </c>
      <c r="D62" s="43">
        <f>X213+X347+X482+U617+S751+S886+X1021+X1157</f>
        <v>75</v>
      </c>
      <c r="E62" s="44">
        <f t="shared" si="0"/>
        <v>0.51020408163265307</v>
      </c>
      <c r="G62" s="6" t="s">
        <v>160</v>
      </c>
      <c r="H62" s="118"/>
      <c r="I62" s="2"/>
      <c r="J62" s="2"/>
      <c r="K62" s="2"/>
      <c r="L62" s="2"/>
      <c r="M62" s="2"/>
      <c r="O62" s="7">
        <v>50</v>
      </c>
    </row>
    <row r="63" spans="2:15" ht="14.4" thickBot="1" x14ac:dyDescent="0.3">
      <c r="B63" s="116"/>
      <c r="C63" s="43">
        <v>2022</v>
      </c>
      <c r="D63" s="43">
        <f>X214+X348+X483+U618+S752+S887+X1022+X1158</f>
        <v>82</v>
      </c>
      <c r="E63" s="44">
        <f t="shared" si="0"/>
        <v>0.55782312925170063</v>
      </c>
      <c r="G63" s="6" t="s">
        <v>161</v>
      </c>
      <c r="H63" s="118"/>
      <c r="I63" s="2"/>
      <c r="J63" s="2"/>
      <c r="K63" s="2"/>
      <c r="L63" s="2"/>
      <c r="M63" s="2"/>
      <c r="O63" s="7">
        <v>51</v>
      </c>
    </row>
    <row r="64" spans="2:15" s="38" customFormat="1" ht="14.4" thickBot="1" x14ac:dyDescent="0.3">
      <c r="B64" s="46"/>
      <c r="C64" s="42" t="s">
        <v>219</v>
      </c>
      <c r="D64" s="42">
        <f>SUM(D59:D63)/5</f>
        <v>76</v>
      </c>
      <c r="E64" s="47">
        <f>SUM(E59:E63)/5</f>
        <v>0.51700680272108845</v>
      </c>
      <c r="G64" s="39"/>
      <c r="H64" s="118"/>
      <c r="I64" s="39"/>
      <c r="J64" s="2"/>
      <c r="K64" s="39"/>
      <c r="L64" s="2"/>
      <c r="M64" s="40"/>
      <c r="N64"/>
      <c r="O64" s="41"/>
    </row>
    <row r="65" spans="2:15" ht="14.4" thickBot="1" x14ac:dyDescent="0.3">
      <c r="B65" s="115" t="s">
        <v>162</v>
      </c>
      <c r="C65" s="43">
        <v>2018</v>
      </c>
      <c r="D65" s="43">
        <f>X215+X349+X484+U619+S753+S888+X1023+X1159</f>
        <v>77</v>
      </c>
      <c r="E65" s="44">
        <f t="shared" si="0"/>
        <v>0.52380952380952384</v>
      </c>
      <c r="G65" s="6" t="s">
        <v>163</v>
      </c>
      <c r="H65" s="118"/>
      <c r="I65" s="2"/>
      <c r="J65" s="2"/>
      <c r="K65" s="2"/>
      <c r="L65" s="2"/>
      <c r="M65" s="2"/>
      <c r="O65" s="7">
        <v>52</v>
      </c>
    </row>
    <row r="66" spans="2:15" ht="14.4" thickBot="1" x14ac:dyDescent="0.3">
      <c r="B66" s="116"/>
      <c r="C66" s="43">
        <v>2019</v>
      </c>
      <c r="D66" s="43">
        <f>X216+X350+X485+U620+S754+S889+X1024+X1160</f>
        <v>67</v>
      </c>
      <c r="E66" s="44">
        <f t="shared" si="0"/>
        <v>0.45578231292517007</v>
      </c>
      <c r="G66" s="6" t="s">
        <v>164</v>
      </c>
      <c r="H66" s="118"/>
      <c r="I66" s="2"/>
      <c r="J66" s="2"/>
      <c r="K66" s="2"/>
      <c r="L66" s="2"/>
      <c r="M66" s="2"/>
      <c r="O66" s="7">
        <v>53</v>
      </c>
    </row>
    <row r="67" spans="2:15" ht="14.4" thickBot="1" x14ac:dyDescent="0.3">
      <c r="B67" s="116"/>
      <c r="C67" s="43">
        <v>2020</v>
      </c>
      <c r="D67" s="43">
        <f>X217+X351+X486+U621+S755+S890+X1025+X1161</f>
        <v>79</v>
      </c>
      <c r="E67" s="44">
        <f t="shared" si="0"/>
        <v>0.5374149659863946</v>
      </c>
      <c r="G67" s="6" t="s">
        <v>165</v>
      </c>
      <c r="H67" s="118"/>
      <c r="I67" s="2"/>
      <c r="J67" s="2"/>
      <c r="K67" s="2"/>
      <c r="L67" s="2"/>
      <c r="M67" s="2"/>
      <c r="O67" s="7">
        <v>54</v>
      </c>
    </row>
    <row r="68" spans="2:15" ht="14.4" thickBot="1" x14ac:dyDescent="0.3">
      <c r="B68" s="116"/>
      <c r="C68" s="43">
        <v>2021</v>
      </c>
      <c r="D68" s="43">
        <f>X218+X352+X487+U622+S756+S891+X1026+X1162</f>
        <v>80</v>
      </c>
      <c r="E68" s="44">
        <f t="shared" si="0"/>
        <v>0.54421768707482998</v>
      </c>
      <c r="G68" s="6" t="s">
        <v>166</v>
      </c>
      <c r="H68" s="118"/>
      <c r="I68" s="2"/>
      <c r="J68" s="2"/>
      <c r="K68" s="2"/>
      <c r="L68" s="2"/>
      <c r="M68" s="2"/>
      <c r="O68" s="7">
        <v>55</v>
      </c>
    </row>
    <row r="69" spans="2:15" ht="14.4" thickBot="1" x14ac:dyDescent="0.3">
      <c r="B69" s="116"/>
      <c r="C69" s="43">
        <v>2022</v>
      </c>
      <c r="D69" s="43">
        <f>X219+X353+X488+U623+S757+S892+X1027+X1163</f>
        <v>74</v>
      </c>
      <c r="E69" s="44">
        <f t="shared" si="0"/>
        <v>0.50340136054421769</v>
      </c>
      <c r="G69" s="6" t="s">
        <v>167</v>
      </c>
      <c r="H69" s="118"/>
      <c r="I69" s="2"/>
      <c r="J69" s="2"/>
      <c r="K69" s="2"/>
      <c r="L69" s="2"/>
      <c r="M69" s="2"/>
      <c r="O69" s="7">
        <v>56</v>
      </c>
    </row>
    <row r="70" spans="2:15" s="38" customFormat="1" ht="14.4" thickBot="1" x14ac:dyDescent="0.3">
      <c r="B70" s="46"/>
      <c r="C70" s="42" t="s">
        <v>219</v>
      </c>
      <c r="D70" s="42">
        <f>SUM(D65:D69)/5</f>
        <v>75.400000000000006</v>
      </c>
      <c r="E70" s="47">
        <f>SUM(E65:E69)/5</f>
        <v>0.51292517006802729</v>
      </c>
      <c r="G70" s="39"/>
      <c r="H70" s="118"/>
      <c r="I70" s="39"/>
      <c r="J70" s="2"/>
      <c r="K70" s="39"/>
      <c r="L70" s="2"/>
      <c r="M70" s="40"/>
      <c r="N70"/>
      <c r="O70" s="41"/>
    </row>
    <row r="71" spans="2:15" ht="14.4" thickBot="1" x14ac:dyDescent="0.3">
      <c r="B71" s="115" t="s">
        <v>168</v>
      </c>
      <c r="C71" s="43">
        <v>2018</v>
      </c>
      <c r="D71" s="43">
        <f>X220+X354+X489+U624+S758+S893+X1028+X1164</f>
        <v>71</v>
      </c>
      <c r="E71" s="44">
        <f t="shared" si="0"/>
        <v>0.48299319727891155</v>
      </c>
      <c r="G71" s="6" t="s">
        <v>169</v>
      </c>
      <c r="H71" s="118"/>
      <c r="I71" s="2"/>
      <c r="J71" s="2"/>
      <c r="K71" s="2"/>
      <c r="L71" s="2"/>
      <c r="M71" s="2"/>
      <c r="O71" s="7">
        <v>57</v>
      </c>
    </row>
    <row r="72" spans="2:15" ht="14.4" thickBot="1" x14ac:dyDescent="0.3">
      <c r="B72" s="116"/>
      <c r="C72" s="43">
        <v>2019</v>
      </c>
      <c r="D72" s="43">
        <f>X221+X355+X490+U625+S759+S894+X1029+X1165</f>
        <v>78</v>
      </c>
      <c r="E72" s="44">
        <f t="shared" si="0"/>
        <v>0.53061224489795922</v>
      </c>
      <c r="G72" s="6" t="s">
        <v>170</v>
      </c>
      <c r="H72" s="118"/>
      <c r="I72" s="2"/>
      <c r="J72" s="2"/>
      <c r="K72" s="2"/>
      <c r="L72" s="2"/>
      <c r="M72" s="2"/>
      <c r="O72" s="7">
        <v>58</v>
      </c>
    </row>
    <row r="73" spans="2:15" ht="14.4" thickBot="1" x14ac:dyDescent="0.3">
      <c r="B73" s="116"/>
      <c r="C73" s="43">
        <v>2020</v>
      </c>
      <c r="D73" s="43">
        <f>X222+X356+X491+U626+S760+S895+X1030+X1166</f>
        <v>79</v>
      </c>
      <c r="E73" s="44">
        <f t="shared" si="0"/>
        <v>0.5374149659863946</v>
      </c>
      <c r="G73" s="6" t="s">
        <v>171</v>
      </c>
      <c r="H73" s="118"/>
      <c r="I73" s="2"/>
      <c r="J73" s="2"/>
      <c r="K73" s="2"/>
      <c r="L73" s="2"/>
      <c r="M73" s="2"/>
      <c r="O73" s="7">
        <v>59</v>
      </c>
    </row>
    <row r="74" spans="2:15" ht="14.4" thickBot="1" x14ac:dyDescent="0.3">
      <c r="B74" s="116"/>
      <c r="C74" s="43">
        <v>2021</v>
      </c>
      <c r="D74" s="43">
        <f>X223+X357+X492+U627+S761+S896+X1031+X1167</f>
        <v>79</v>
      </c>
      <c r="E74" s="44">
        <f t="shared" si="0"/>
        <v>0.5374149659863946</v>
      </c>
      <c r="G74" s="6" t="s">
        <v>172</v>
      </c>
      <c r="H74" s="118"/>
      <c r="I74" s="2"/>
      <c r="J74" s="2"/>
      <c r="K74" s="2"/>
      <c r="L74" s="2"/>
      <c r="M74" s="2"/>
      <c r="O74" s="7">
        <v>60</v>
      </c>
    </row>
    <row r="75" spans="2:15" ht="14.4" thickBot="1" x14ac:dyDescent="0.3">
      <c r="B75" s="116"/>
      <c r="C75" s="43">
        <v>2022</v>
      </c>
      <c r="D75" s="43">
        <f>X224+X358+X493+U628+S762+S897+X1032+X1168</f>
        <v>72</v>
      </c>
      <c r="E75" s="44">
        <f t="shared" si="0"/>
        <v>0.48979591836734693</v>
      </c>
      <c r="F75" s="2"/>
      <c r="G75" s="2"/>
      <c r="H75" s="2"/>
      <c r="I75" s="2"/>
      <c r="J75" s="2"/>
      <c r="K75" s="2"/>
      <c r="L75" s="2"/>
    </row>
    <row r="76" spans="2:15" s="38" customFormat="1" ht="14.4" thickBot="1" x14ac:dyDescent="0.3">
      <c r="B76" s="46"/>
      <c r="C76" s="42" t="s">
        <v>219</v>
      </c>
      <c r="D76" s="42">
        <f>SUM(D71:D75)/5</f>
        <v>75.8</v>
      </c>
      <c r="E76" s="47">
        <f>SUM(E71:E75)/5</f>
        <v>0.5156462585034014</v>
      </c>
      <c r="G76" s="39"/>
      <c r="H76" s="2"/>
      <c r="I76" s="39"/>
      <c r="J76" s="2"/>
      <c r="K76" s="39"/>
      <c r="L76" s="2"/>
      <c r="M76" s="40"/>
      <c r="N76"/>
      <c r="O76" s="41"/>
    </row>
    <row r="77" spans="2:15" ht="14.4" thickBot="1" x14ac:dyDescent="0.3">
      <c r="B77" s="115" t="s">
        <v>173</v>
      </c>
      <c r="C77" s="43">
        <v>2018</v>
      </c>
      <c r="D77" s="43">
        <f>X225+X359+X494+U629+S763+S898+X1033+X1169</f>
        <v>69</v>
      </c>
      <c r="E77" s="44">
        <f t="shared" si="0"/>
        <v>0.46938775510204084</v>
      </c>
      <c r="F77" s="2"/>
      <c r="G77" s="2"/>
      <c r="H77" s="2"/>
      <c r="I77" s="2"/>
      <c r="J77" s="2"/>
      <c r="K77" s="2"/>
      <c r="L77" s="2"/>
    </row>
    <row r="78" spans="2:15" ht="14.4" thickBot="1" x14ac:dyDescent="0.3">
      <c r="B78" s="116"/>
      <c r="C78" s="43">
        <v>2019</v>
      </c>
      <c r="D78" s="43">
        <f>X226+X360+X495+U630+S764+S899+X1034+X1170</f>
        <v>86</v>
      </c>
      <c r="E78" s="44">
        <f t="shared" si="0"/>
        <v>0.58503401360544216</v>
      </c>
      <c r="F78" s="2"/>
      <c r="G78" s="2"/>
      <c r="H78" s="2"/>
      <c r="I78" s="2"/>
      <c r="J78" s="2"/>
      <c r="K78" s="2"/>
      <c r="L78" s="2"/>
    </row>
    <row r="79" spans="2:15" ht="14.4" thickBot="1" x14ac:dyDescent="0.3">
      <c r="B79" s="116"/>
      <c r="C79" s="43">
        <v>2020</v>
      </c>
      <c r="D79" s="43">
        <f>X227+X361+X496+U631+S765+S900+X1035+X1171</f>
        <v>62</v>
      </c>
      <c r="E79" s="44">
        <f t="shared" si="0"/>
        <v>0.42176870748299322</v>
      </c>
      <c r="F79" s="2"/>
      <c r="G79" s="2"/>
      <c r="H79" s="2"/>
      <c r="I79" s="2"/>
      <c r="J79" s="2"/>
      <c r="K79" s="2"/>
      <c r="L79" s="2"/>
    </row>
    <row r="80" spans="2:15" ht="14.4" thickBot="1" x14ac:dyDescent="0.3">
      <c r="B80" s="116"/>
      <c r="C80" s="43">
        <v>2021</v>
      </c>
      <c r="D80" s="43">
        <f>X228+X362+X497+U632+S766+S901+X1036+X1172</f>
        <v>70</v>
      </c>
      <c r="E80" s="44">
        <f t="shared" si="0"/>
        <v>0.47619047619047616</v>
      </c>
      <c r="F80" s="2"/>
      <c r="G80" s="2"/>
      <c r="H80" s="2"/>
      <c r="I80" s="2"/>
      <c r="J80" s="2"/>
      <c r="K80" s="2"/>
      <c r="L80" s="2"/>
    </row>
    <row r="81" spans="2:15" ht="14.4" thickBot="1" x14ac:dyDescent="0.3">
      <c r="B81" s="116"/>
      <c r="C81" s="43">
        <v>2022</v>
      </c>
      <c r="D81" s="43">
        <f>X229+X363+X498+U633+S767+S902+X1037+X1173</f>
        <v>81</v>
      </c>
      <c r="E81" s="44">
        <f t="shared" si="0"/>
        <v>0.55102040816326525</v>
      </c>
      <c r="F81" s="2"/>
      <c r="G81" s="2"/>
      <c r="H81" s="2"/>
      <c r="I81" s="2"/>
      <c r="J81" s="2"/>
      <c r="K81" s="2"/>
      <c r="L81" s="2"/>
    </row>
    <row r="82" spans="2:15" s="38" customFormat="1" ht="14.4" thickBot="1" x14ac:dyDescent="0.3">
      <c r="B82" s="46"/>
      <c r="C82" s="42" t="s">
        <v>219</v>
      </c>
      <c r="D82" s="42">
        <f>SUM(D77:D81)/5</f>
        <v>73.599999999999994</v>
      </c>
      <c r="E82" s="47">
        <f>SUM(E77:E81)/5</f>
        <v>0.50068027210884358</v>
      </c>
      <c r="G82" s="39"/>
      <c r="H82" s="2"/>
      <c r="I82" s="39"/>
      <c r="J82" s="2"/>
      <c r="K82" s="39"/>
      <c r="L82" s="2"/>
      <c r="M82" s="40"/>
      <c r="N82"/>
      <c r="O82" s="41"/>
    </row>
    <row r="83" spans="2:15" ht="14.4" thickBot="1" x14ac:dyDescent="0.3">
      <c r="B83" s="115" t="s">
        <v>174</v>
      </c>
      <c r="C83" s="43">
        <v>2018</v>
      </c>
      <c r="D83" s="43">
        <f>X230+X364+X499+U634+S768+S903+X1038+X1174</f>
        <v>75</v>
      </c>
      <c r="E83" s="44">
        <f t="shared" si="0"/>
        <v>0.51020408163265307</v>
      </c>
      <c r="F83" s="2"/>
      <c r="G83" s="2"/>
      <c r="H83" s="2"/>
      <c r="I83" s="2"/>
      <c r="J83" s="2"/>
      <c r="K83" s="2"/>
      <c r="L83" s="2"/>
    </row>
    <row r="84" spans="2:15" ht="14.4" thickBot="1" x14ac:dyDescent="0.3">
      <c r="B84" s="116"/>
      <c r="C84" s="43">
        <v>2019</v>
      </c>
      <c r="D84" s="43">
        <f>X231+X365+X500+U635+S769+S904+X1039+X1175</f>
        <v>75</v>
      </c>
      <c r="E84" s="44">
        <f t="shared" si="0"/>
        <v>0.51020408163265307</v>
      </c>
      <c r="F84" s="2"/>
      <c r="G84" s="2"/>
      <c r="H84" s="2"/>
      <c r="I84" s="2"/>
      <c r="J84" s="2"/>
      <c r="K84" s="2"/>
      <c r="L84" s="2"/>
    </row>
    <row r="85" spans="2:15" ht="14.4" thickBot="1" x14ac:dyDescent="0.3">
      <c r="B85" s="116"/>
      <c r="C85" s="43">
        <v>2020</v>
      </c>
      <c r="D85" s="43">
        <f>X232+X366+X501+U636+S770+S905+X1040+X1176</f>
        <v>74</v>
      </c>
      <c r="E85" s="44">
        <f t="shared" si="0"/>
        <v>0.50340136054421769</v>
      </c>
      <c r="F85" s="2"/>
      <c r="G85" s="2"/>
      <c r="H85" s="2"/>
      <c r="I85" s="2"/>
      <c r="J85" s="2"/>
      <c r="K85" s="2"/>
      <c r="L85" s="2"/>
    </row>
    <row r="86" spans="2:15" ht="14.4" thickBot="1" x14ac:dyDescent="0.3">
      <c r="B86" s="116"/>
      <c r="C86" s="43">
        <v>2021</v>
      </c>
      <c r="D86" s="43">
        <f>X233+X367+X502+U637+S771+S906+X1041+X1177</f>
        <v>78</v>
      </c>
      <c r="E86" s="44">
        <f t="shared" si="0"/>
        <v>0.53061224489795922</v>
      </c>
      <c r="F86" s="2"/>
      <c r="G86" s="2"/>
      <c r="H86" s="2"/>
      <c r="I86" s="2"/>
      <c r="J86" s="2"/>
      <c r="K86" s="2"/>
      <c r="L86" s="2"/>
    </row>
    <row r="87" spans="2:15" ht="14.4" thickBot="1" x14ac:dyDescent="0.3">
      <c r="B87" s="116"/>
      <c r="C87" s="43">
        <v>2022</v>
      </c>
      <c r="D87" s="43">
        <f>X234+X368+X503+U638+S772+S907+X1042+X1178</f>
        <v>79</v>
      </c>
      <c r="E87" s="44">
        <f t="shared" si="0"/>
        <v>0.5374149659863946</v>
      </c>
      <c r="F87" s="2"/>
      <c r="G87" s="2"/>
      <c r="H87" s="2"/>
      <c r="I87" s="2"/>
      <c r="J87" s="2"/>
      <c r="K87" s="2"/>
      <c r="L87" s="2"/>
    </row>
    <row r="88" spans="2:15" s="38" customFormat="1" ht="14.4" thickBot="1" x14ac:dyDescent="0.3">
      <c r="B88" s="46"/>
      <c r="C88" s="42" t="s">
        <v>219</v>
      </c>
      <c r="D88" s="42">
        <f>SUM(D83:D87)/5</f>
        <v>76.2</v>
      </c>
      <c r="E88" s="47">
        <f>SUM(E83:E87)/5</f>
        <v>0.51836734693877551</v>
      </c>
      <c r="G88" s="39"/>
      <c r="H88" s="2"/>
      <c r="I88" s="39"/>
      <c r="J88" s="2"/>
      <c r="K88" s="39"/>
      <c r="L88" s="2"/>
      <c r="M88" s="40"/>
      <c r="N88"/>
      <c r="O88" s="41"/>
    </row>
    <row r="89" spans="2:15" ht="14.4" thickBot="1" x14ac:dyDescent="0.3">
      <c r="B89" s="115" t="s">
        <v>175</v>
      </c>
      <c r="C89" s="43">
        <v>2018</v>
      </c>
      <c r="D89" s="43">
        <f>X235+X369+X504+U639+S773+S908+X1043+X1179</f>
        <v>83</v>
      </c>
      <c r="E89" s="44">
        <f t="shared" si="0"/>
        <v>0.56462585034013602</v>
      </c>
      <c r="F89" s="2"/>
      <c r="G89" s="2"/>
      <c r="H89" s="2"/>
      <c r="I89" s="2"/>
      <c r="J89" s="2"/>
      <c r="K89" s="2"/>
      <c r="L89" s="2"/>
    </row>
    <row r="90" spans="2:15" ht="14.4" thickBot="1" x14ac:dyDescent="0.3">
      <c r="B90" s="116"/>
      <c r="C90" s="43">
        <v>2019</v>
      </c>
      <c r="D90" s="43">
        <f>X236+X370+X505+U640+S774+S909+X1044+X1180</f>
        <v>78</v>
      </c>
      <c r="E90" s="44">
        <f t="shared" si="0"/>
        <v>0.53061224489795922</v>
      </c>
      <c r="F90" s="2"/>
      <c r="G90" s="2"/>
      <c r="H90" s="2"/>
      <c r="I90" s="2"/>
      <c r="J90" s="2"/>
      <c r="K90" s="2"/>
      <c r="L90" s="2"/>
    </row>
    <row r="91" spans="2:15" ht="14.4" thickBot="1" x14ac:dyDescent="0.3">
      <c r="B91" s="116"/>
      <c r="C91" s="43">
        <v>2020</v>
      </c>
      <c r="D91" s="43">
        <f>X237+X371+X506+U641+S775+S910+X1045+X1181</f>
        <v>67</v>
      </c>
      <c r="E91" s="44">
        <f t="shared" si="0"/>
        <v>0.45578231292517007</v>
      </c>
      <c r="F91" s="2"/>
      <c r="G91" s="2"/>
      <c r="H91" s="2"/>
      <c r="I91" s="2"/>
      <c r="J91" s="2"/>
      <c r="K91" s="2"/>
      <c r="L91" s="2"/>
    </row>
    <row r="92" spans="2:15" ht="14.4" thickBot="1" x14ac:dyDescent="0.3">
      <c r="B92" s="116"/>
      <c r="C92" s="43">
        <v>2021</v>
      </c>
      <c r="D92" s="43">
        <f>X238+X372+X507+U642+S776+S911+X1046+X1182</f>
        <v>83</v>
      </c>
      <c r="E92" s="44">
        <f t="shared" si="0"/>
        <v>0.56462585034013602</v>
      </c>
      <c r="F92" s="2"/>
      <c r="G92" s="2"/>
      <c r="H92" s="2"/>
      <c r="I92" s="2"/>
      <c r="J92" s="2"/>
      <c r="K92" s="2"/>
      <c r="L92" s="2"/>
    </row>
    <row r="93" spans="2:15" ht="14.4" thickBot="1" x14ac:dyDescent="0.3">
      <c r="B93" s="116"/>
      <c r="C93" s="43">
        <v>2022</v>
      </c>
      <c r="D93" s="43">
        <f>X239+X373+X508+U643+S777+S912+X1047+X1183</f>
        <v>90</v>
      </c>
      <c r="E93" s="44">
        <f t="shared" si="0"/>
        <v>0.61224489795918369</v>
      </c>
      <c r="F93" s="2"/>
      <c r="G93" s="2"/>
      <c r="H93" s="2"/>
      <c r="I93" s="2"/>
      <c r="J93" s="2"/>
      <c r="K93" s="2"/>
      <c r="L93" s="2"/>
    </row>
    <row r="94" spans="2:15" s="38" customFormat="1" ht="14.4" thickBot="1" x14ac:dyDescent="0.3">
      <c r="B94" s="46"/>
      <c r="C94" s="42" t="s">
        <v>219</v>
      </c>
      <c r="D94" s="42">
        <f>SUM(D89:D93)/5</f>
        <v>80.2</v>
      </c>
      <c r="E94" s="47">
        <f>SUM(E89:E93)/5</f>
        <v>0.54557823129251715</v>
      </c>
      <c r="G94" s="39"/>
      <c r="H94" s="2"/>
      <c r="I94" s="39"/>
      <c r="J94" s="2"/>
      <c r="K94" s="39"/>
      <c r="L94" s="2"/>
      <c r="M94" s="40"/>
      <c r="N94"/>
      <c r="O94" s="41"/>
    </row>
    <row r="95" spans="2:15" ht="14.4" thickBot="1" x14ac:dyDescent="0.3">
      <c r="B95" s="115" t="s">
        <v>176</v>
      </c>
      <c r="C95" s="43">
        <v>2018</v>
      </c>
      <c r="D95" s="43">
        <f>X240+X374+X509+U644+S778+S913+X1048+X1184</f>
        <v>78</v>
      </c>
      <c r="E95" s="44">
        <f t="shared" si="0"/>
        <v>0.53061224489795922</v>
      </c>
      <c r="F95" s="2"/>
      <c r="G95" s="2"/>
      <c r="H95" s="2"/>
      <c r="I95" s="2"/>
      <c r="J95" s="2"/>
      <c r="K95" s="2"/>
      <c r="L95" s="2"/>
    </row>
    <row r="96" spans="2:15" ht="14.4" thickBot="1" x14ac:dyDescent="0.3">
      <c r="B96" s="116"/>
      <c r="C96" s="43">
        <v>2019</v>
      </c>
      <c r="D96" s="43">
        <f>X241+X375+X510+U645+S779+S914+X1049+X1185</f>
        <v>80</v>
      </c>
      <c r="E96" s="44">
        <f t="shared" si="0"/>
        <v>0.54421768707482998</v>
      </c>
      <c r="F96" s="2"/>
      <c r="G96" s="2"/>
      <c r="H96" s="2"/>
      <c r="I96" s="2"/>
      <c r="J96" s="2"/>
      <c r="K96" s="2"/>
      <c r="L96" s="2"/>
    </row>
    <row r="97" spans="2:15" ht="14.4" thickBot="1" x14ac:dyDescent="0.3">
      <c r="B97" s="116"/>
      <c r="C97" s="43">
        <v>2020</v>
      </c>
      <c r="D97" s="43">
        <f>X242+X376+X511+U646+S780+S915+X1050+X1186</f>
        <v>74</v>
      </c>
      <c r="E97" s="44">
        <f t="shared" si="0"/>
        <v>0.50340136054421769</v>
      </c>
      <c r="F97" s="2"/>
      <c r="G97" s="2"/>
      <c r="H97" s="2"/>
      <c r="I97" s="2"/>
      <c r="J97" s="2"/>
      <c r="K97" s="2"/>
      <c r="L97" s="2"/>
    </row>
    <row r="98" spans="2:15" ht="14.4" thickBot="1" x14ac:dyDescent="0.3">
      <c r="B98" s="116"/>
      <c r="C98" s="43">
        <v>2021</v>
      </c>
      <c r="D98" s="43">
        <f>X243+X377+X512+U647+S781+S916+X1051+X1187</f>
        <v>80</v>
      </c>
      <c r="E98" s="44">
        <f t="shared" si="0"/>
        <v>0.54421768707482998</v>
      </c>
      <c r="F98" s="2"/>
      <c r="G98" s="2"/>
      <c r="H98" s="2"/>
      <c r="I98" s="2"/>
      <c r="J98" s="2"/>
      <c r="K98" s="2"/>
      <c r="L98" s="2"/>
    </row>
    <row r="99" spans="2:15" ht="14.4" thickBot="1" x14ac:dyDescent="0.3">
      <c r="B99" s="116"/>
      <c r="C99" s="43">
        <v>2022</v>
      </c>
      <c r="D99" s="43">
        <f>X244+X378+X513+U648+S782+S917+X1052+X1188</f>
        <v>78</v>
      </c>
      <c r="E99" s="44">
        <f t="shared" si="0"/>
        <v>0.53061224489795922</v>
      </c>
      <c r="F99" s="2"/>
      <c r="G99" s="2"/>
      <c r="H99" s="2"/>
      <c r="I99" s="2"/>
      <c r="J99" s="2"/>
      <c r="K99" s="2"/>
      <c r="L99" s="2"/>
    </row>
    <row r="100" spans="2:15" s="38" customFormat="1" ht="14.4" thickBot="1" x14ac:dyDescent="0.3">
      <c r="B100" s="46"/>
      <c r="C100" s="42" t="s">
        <v>219</v>
      </c>
      <c r="D100" s="42">
        <f>SUM(D95:D99)/5</f>
        <v>78</v>
      </c>
      <c r="E100" s="47">
        <f>SUM(E95:E99)/5</f>
        <v>0.53061224489795922</v>
      </c>
      <c r="G100" s="39"/>
      <c r="H100" s="2"/>
      <c r="I100" s="39"/>
      <c r="J100" s="2"/>
      <c r="K100" s="39"/>
      <c r="L100" s="2"/>
      <c r="M100" s="40"/>
      <c r="N100"/>
      <c r="O100" s="41"/>
    </row>
    <row r="101" spans="2:15" ht="14.4" thickBot="1" x14ac:dyDescent="0.3">
      <c r="B101" s="115" t="s">
        <v>177</v>
      </c>
      <c r="C101" s="43">
        <v>2018</v>
      </c>
      <c r="D101" s="43">
        <f>X245+X379+X514+U649+S783+S918+X1053+X1189</f>
        <v>82</v>
      </c>
      <c r="E101" s="44">
        <f t="shared" si="0"/>
        <v>0.55782312925170063</v>
      </c>
      <c r="F101" s="2"/>
      <c r="G101" s="2"/>
      <c r="H101" s="2"/>
      <c r="I101" s="2"/>
      <c r="J101" s="2"/>
      <c r="K101" s="2"/>
      <c r="L101" s="2"/>
    </row>
    <row r="102" spans="2:15" ht="14.4" thickBot="1" x14ac:dyDescent="0.3">
      <c r="B102" s="116"/>
      <c r="C102" s="43">
        <v>2019</v>
      </c>
      <c r="D102" s="43">
        <f>X246+X380+X515+U650+S784+S919+X1054+X1190</f>
        <v>67</v>
      </c>
      <c r="E102" s="44">
        <f t="shared" si="0"/>
        <v>0.45578231292517007</v>
      </c>
      <c r="F102" s="2"/>
      <c r="G102" s="2"/>
      <c r="H102" s="2"/>
      <c r="I102" s="2"/>
      <c r="J102" s="2"/>
      <c r="K102" s="2"/>
      <c r="L102" s="2"/>
    </row>
    <row r="103" spans="2:15" ht="14.4" thickBot="1" x14ac:dyDescent="0.3">
      <c r="B103" s="116"/>
      <c r="C103" s="43">
        <v>2020</v>
      </c>
      <c r="D103" s="43">
        <f>X247+X381+X516+U651+S785+S920+X1055+X1191</f>
        <v>79</v>
      </c>
      <c r="E103" s="44">
        <f t="shared" si="0"/>
        <v>0.5374149659863946</v>
      </c>
      <c r="F103" s="2"/>
      <c r="G103" s="2"/>
      <c r="H103" s="2"/>
      <c r="I103" s="2"/>
      <c r="J103" s="2"/>
      <c r="K103" s="2"/>
      <c r="L103" s="2"/>
    </row>
    <row r="104" spans="2:15" ht="14.4" thickBot="1" x14ac:dyDescent="0.3">
      <c r="B104" s="116"/>
      <c r="C104" s="43">
        <v>2021</v>
      </c>
      <c r="D104" s="43">
        <f>X248+X382+X517+U652+S786+S921+X1056+X1192</f>
        <v>76</v>
      </c>
      <c r="E104" s="44">
        <f t="shared" si="0"/>
        <v>0.51700680272108845</v>
      </c>
      <c r="F104" s="2"/>
      <c r="G104" s="2"/>
      <c r="H104" s="2"/>
      <c r="I104" s="2"/>
      <c r="J104" s="2"/>
      <c r="K104" s="2"/>
      <c r="L104" s="2"/>
    </row>
    <row r="105" spans="2:15" ht="14.4" thickBot="1" x14ac:dyDescent="0.3">
      <c r="B105" s="116"/>
      <c r="C105" s="43">
        <v>2022</v>
      </c>
      <c r="D105" s="43">
        <f>X249+X383+X518+U653+S787+S922+X1057+X1193</f>
        <v>74</v>
      </c>
      <c r="E105" s="44">
        <f t="shared" si="0"/>
        <v>0.50340136054421769</v>
      </c>
      <c r="F105" s="2"/>
      <c r="G105" s="2"/>
      <c r="H105" s="2"/>
      <c r="I105" s="2"/>
      <c r="J105" s="2"/>
      <c r="K105" s="2"/>
      <c r="L105" s="2"/>
    </row>
    <row r="106" spans="2:15" s="38" customFormat="1" ht="14.4" thickBot="1" x14ac:dyDescent="0.3">
      <c r="B106" s="46"/>
      <c r="C106" s="42" t="s">
        <v>219</v>
      </c>
      <c r="D106" s="42">
        <f>SUM(D101:D105)/5</f>
        <v>75.599999999999994</v>
      </c>
      <c r="E106" s="47">
        <f>SUM(E101:E105)/5</f>
        <v>0.51428571428571435</v>
      </c>
      <c r="G106" s="39"/>
      <c r="H106" s="2"/>
      <c r="I106" s="39"/>
      <c r="J106" s="2"/>
      <c r="K106" s="39"/>
      <c r="L106" s="2"/>
      <c r="M106" s="40"/>
      <c r="N106"/>
      <c r="O106" s="41"/>
    </row>
    <row r="107" spans="2:15" ht="14.4" thickBot="1" x14ac:dyDescent="0.3">
      <c r="B107" s="115" t="s">
        <v>178</v>
      </c>
      <c r="C107" s="43">
        <v>2018</v>
      </c>
      <c r="D107" s="43">
        <f>X250+X384+X519+U654+S788+S923+X1058+X1194</f>
        <v>76</v>
      </c>
      <c r="E107" s="44">
        <f t="shared" si="0"/>
        <v>0.51700680272108845</v>
      </c>
      <c r="F107" s="2"/>
      <c r="G107" s="2"/>
      <c r="H107" s="2"/>
      <c r="I107" s="2"/>
      <c r="J107" s="2"/>
      <c r="K107" s="2"/>
      <c r="L107" s="2"/>
    </row>
    <row r="108" spans="2:15" ht="14.4" thickBot="1" x14ac:dyDescent="0.3">
      <c r="B108" s="116"/>
      <c r="C108" s="43">
        <v>2019</v>
      </c>
      <c r="D108" s="43">
        <f>X251+X385+X520+U655+S789+S924+X1059+X1195</f>
        <v>64</v>
      </c>
      <c r="E108" s="44">
        <f t="shared" si="0"/>
        <v>0.43537414965986393</v>
      </c>
      <c r="F108" s="2"/>
      <c r="G108" s="2"/>
      <c r="H108" s="2"/>
      <c r="I108" s="2"/>
      <c r="J108" s="2"/>
      <c r="K108" s="2"/>
      <c r="L108" s="2"/>
    </row>
    <row r="109" spans="2:15" ht="14.4" thickBot="1" x14ac:dyDescent="0.3">
      <c r="B109" s="116"/>
      <c r="C109" s="43">
        <v>2020</v>
      </c>
      <c r="D109" s="43">
        <f>X252+X386+X521+U656+S790+S925+X1060+X1196</f>
        <v>72</v>
      </c>
      <c r="E109" s="44">
        <f t="shared" si="0"/>
        <v>0.48979591836734693</v>
      </c>
      <c r="F109" s="2"/>
      <c r="G109" s="2"/>
      <c r="H109" s="2"/>
      <c r="I109" s="2"/>
      <c r="J109" s="2"/>
      <c r="K109" s="2"/>
      <c r="L109" s="2"/>
    </row>
    <row r="110" spans="2:15" ht="14.4" thickBot="1" x14ac:dyDescent="0.3">
      <c r="B110" s="116"/>
      <c r="C110" s="43">
        <v>2021</v>
      </c>
      <c r="D110" s="43">
        <f>X253+X387+X522+U657+S791+S926+X1061+X1197</f>
        <v>81</v>
      </c>
      <c r="E110" s="44">
        <f t="shared" si="0"/>
        <v>0.55102040816326525</v>
      </c>
      <c r="F110" s="2"/>
      <c r="G110" s="2"/>
      <c r="H110" s="2"/>
      <c r="I110" s="2"/>
      <c r="J110" s="2"/>
      <c r="K110" s="2"/>
      <c r="L110" s="2"/>
    </row>
    <row r="111" spans="2:15" ht="14.4" thickBot="1" x14ac:dyDescent="0.3">
      <c r="B111" s="116"/>
      <c r="C111" s="43">
        <v>2022</v>
      </c>
      <c r="D111" s="43">
        <f>X254+X388+X523+U658+S792+S927+X1062+X1198</f>
        <v>82</v>
      </c>
      <c r="E111" s="44">
        <f t="shared" si="0"/>
        <v>0.55782312925170063</v>
      </c>
      <c r="F111" s="2"/>
      <c r="G111" s="2"/>
      <c r="H111" s="2"/>
      <c r="I111" s="2"/>
      <c r="J111" s="2"/>
      <c r="K111" s="2"/>
      <c r="L111" s="2"/>
    </row>
    <row r="112" spans="2:15" s="38" customFormat="1" ht="14.4" thickBot="1" x14ac:dyDescent="0.3">
      <c r="B112" s="46"/>
      <c r="C112" s="42" t="s">
        <v>219</v>
      </c>
      <c r="D112" s="42">
        <f>SUM(D107:D111)/5</f>
        <v>75</v>
      </c>
      <c r="E112" s="47">
        <f>SUM(E107:E111)/5</f>
        <v>0.51020408163265307</v>
      </c>
      <c r="G112" s="39"/>
      <c r="H112" s="2"/>
      <c r="I112" s="39"/>
      <c r="J112" s="2"/>
      <c r="K112" s="39"/>
      <c r="L112" s="2"/>
      <c r="M112" s="40"/>
      <c r="N112"/>
      <c r="O112" s="41"/>
    </row>
    <row r="113" spans="2:15" ht="14.4" thickBot="1" x14ac:dyDescent="0.3">
      <c r="B113" s="115" t="s">
        <v>179</v>
      </c>
      <c r="C113" s="43">
        <v>2018</v>
      </c>
      <c r="D113" s="43">
        <f>X255+X389+X524+U659+S793+S928+X1063+X1199</f>
        <v>83</v>
      </c>
      <c r="E113" s="44">
        <f t="shared" si="0"/>
        <v>0.56462585034013602</v>
      </c>
      <c r="F113" s="2"/>
      <c r="G113" s="2"/>
      <c r="H113" s="2"/>
      <c r="I113" s="2"/>
      <c r="J113" s="2"/>
      <c r="K113" s="2"/>
      <c r="L113" s="2"/>
    </row>
    <row r="114" spans="2:15" ht="14.4" thickBot="1" x14ac:dyDescent="0.3">
      <c r="B114" s="116"/>
      <c r="C114" s="43">
        <v>2019</v>
      </c>
      <c r="D114" s="43">
        <f>X256+X390+X525+U660+S794+S929+X1064+X1200</f>
        <v>90</v>
      </c>
      <c r="E114" s="44">
        <f t="shared" si="0"/>
        <v>0.61224489795918369</v>
      </c>
      <c r="F114" s="2"/>
      <c r="G114" s="2"/>
      <c r="H114" s="2"/>
      <c r="I114" s="2"/>
      <c r="J114" s="2"/>
      <c r="K114" s="2"/>
      <c r="L114" s="2"/>
    </row>
    <row r="115" spans="2:15" ht="14.4" thickBot="1" x14ac:dyDescent="0.3">
      <c r="B115" s="116"/>
      <c r="C115" s="43">
        <v>2020</v>
      </c>
      <c r="D115" s="43">
        <f>X257+X391+X526+U661+S795+S930+X1065+X1201</f>
        <v>83</v>
      </c>
      <c r="E115" s="44">
        <f t="shared" si="0"/>
        <v>0.56462585034013602</v>
      </c>
      <c r="F115" s="2"/>
      <c r="G115" s="2"/>
      <c r="H115" s="2"/>
      <c r="I115" s="2"/>
      <c r="J115" s="2"/>
      <c r="K115" s="2"/>
      <c r="L115" s="2"/>
    </row>
    <row r="116" spans="2:15" ht="14.4" thickBot="1" x14ac:dyDescent="0.3">
      <c r="B116" s="116"/>
      <c r="C116" s="43">
        <v>2021</v>
      </c>
      <c r="D116" s="43">
        <f>X258+X392+X527+U662+S796+S931+X1066+X1202</f>
        <v>74</v>
      </c>
      <c r="E116" s="44">
        <f t="shared" si="0"/>
        <v>0.50340136054421769</v>
      </c>
      <c r="F116" s="2"/>
      <c r="G116" s="2"/>
      <c r="H116" s="2"/>
      <c r="I116" s="2"/>
      <c r="J116" s="2"/>
      <c r="K116" s="2"/>
      <c r="L116" s="2"/>
    </row>
    <row r="117" spans="2:15" ht="14.4" thickBot="1" x14ac:dyDescent="0.3">
      <c r="B117" s="116"/>
      <c r="C117" s="43">
        <v>2022</v>
      </c>
      <c r="D117" s="43">
        <f>X259+X393+X528+U663+S797+S932+X1067+X1203</f>
        <v>81</v>
      </c>
      <c r="E117" s="44">
        <f t="shared" si="0"/>
        <v>0.55102040816326525</v>
      </c>
      <c r="F117" s="2"/>
      <c r="G117" s="2"/>
      <c r="H117" s="2"/>
      <c r="I117" s="2"/>
      <c r="J117" s="2"/>
      <c r="K117" s="2"/>
      <c r="L117" s="2"/>
    </row>
    <row r="118" spans="2:15" s="38" customFormat="1" ht="14.4" thickBot="1" x14ac:dyDescent="0.3">
      <c r="B118" s="46"/>
      <c r="C118" s="42" t="s">
        <v>219</v>
      </c>
      <c r="D118" s="42">
        <f>SUM(D113:D117)/5</f>
        <v>82.2</v>
      </c>
      <c r="E118" s="47">
        <f>SUM(E113:E117)/5</f>
        <v>0.55918367346938769</v>
      </c>
      <c r="G118" s="39"/>
      <c r="H118" s="2"/>
      <c r="I118" s="39"/>
      <c r="J118" s="2"/>
      <c r="K118" s="39"/>
      <c r="L118" s="2"/>
      <c r="M118" s="40"/>
      <c r="N118"/>
      <c r="O118" s="41"/>
    </row>
    <row r="119" spans="2:15" ht="14.4" thickBot="1" x14ac:dyDescent="0.3">
      <c r="B119" s="115" t="s">
        <v>180</v>
      </c>
      <c r="C119" s="43">
        <v>2018</v>
      </c>
      <c r="D119" s="43">
        <f>X260+X394+X529+U664+S798+S933+X1068+X1204</f>
        <v>79</v>
      </c>
      <c r="E119" s="44">
        <f t="shared" si="0"/>
        <v>0.5374149659863946</v>
      </c>
      <c r="F119" s="2"/>
      <c r="G119" s="2"/>
      <c r="H119" s="2"/>
      <c r="I119" s="2"/>
      <c r="J119" s="2"/>
      <c r="K119" s="2"/>
      <c r="L119" s="2"/>
    </row>
    <row r="120" spans="2:15" ht="14.4" thickBot="1" x14ac:dyDescent="0.3">
      <c r="B120" s="116"/>
      <c r="C120" s="43">
        <v>2019</v>
      </c>
      <c r="D120" s="43">
        <f>X261+X395+X530+U665+S799+S934+X1069+X1205</f>
        <v>78</v>
      </c>
      <c r="E120" s="44">
        <f t="shared" si="0"/>
        <v>0.53061224489795922</v>
      </c>
      <c r="F120" s="2"/>
      <c r="G120" s="2"/>
      <c r="H120" s="2"/>
      <c r="I120" s="2"/>
      <c r="J120" s="2"/>
      <c r="K120" s="2"/>
      <c r="L120" s="2"/>
    </row>
    <row r="121" spans="2:15" ht="14.4" thickBot="1" x14ac:dyDescent="0.3">
      <c r="B121" s="116"/>
      <c r="C121" s="43">
        <v>2020</v>
      </c>
      <c r="D121" s="43">
        <f>X262+X396+X531+U666+S800+S935+X1070+X1206</f>
        <v>79</v>
      </c>
      <c r="E121" s="44">
        <f t="shared" si="0"/>
        <v>0.5374149659863946</v>
      </c>
      <c r="F121" s="2"/>
      <c r="G121" s="2"/>
      <c r="H121" s="2"/>
      <c r="I121" s="2"/>
      <c r="J121" s="2"/>
      <c r="K121" s="2"/>
      <c r="L121" s="2"/>
    </row>
    <row r="122" spans="2:15" ht="14.4" thickBot="1" x14ac:dyDescent="0.3">
      <c r="B122" s="116"/>
      <c r="C122" s="43">
        <v>2021</v>
      </c>
      <c r="D122" s="43">
        <f>X263+X397+X532+U667+S801+S936+X1071+X1207</f>
        <v>74</v>
      </c>
      <c r="E122" s="44">
        <f t="shared" si="0"/>
        <v>0.50340136054421769</v>
      </c>
      <c r="F122" s="2"/>
      <c r="G122" s="2"/>
      <c r="H122" s="2"/>
      <c r="I122" s="2"/>
      <c r="J122" s="2"/>
      <c r="K122" s="2"/>
      <c r="L122" s="2"/>
    </row>
    <row r="123" spans="2:15" ht="14.4" thickBot="1" x14ac:dyDescent="0.3">
      <c r="B123" s="116"/>
      <c r="C123" s="43">
        <v>2022</v>
      </c>
      <c r="D123" s="43">
        <f>X264+X398+X533+U668+S802+S937+X1072+X1208</f>
        <v>78</v>
      </c>
      <c r="E123" s="44">
        <f t="shared" si="0"/>
        <v>0.53061224489795922</v>
      </c>
      <c r="F123" s="2"/>
      <c r="G123" s="2"/>
      <c r="H123" s="2"/>
      <c r="I123" s="2"/>
      <c r="J123" s="2"/>
      <c r="K123" s="2"/>
      <c r="L123" s="2"/>
    </row>
    <row r="124" spans="2:15" s="38" customFormat="1" ht="14.4" thickBot="1" x14ac:dyDescent="0.3">
      <c r="B124" s="46"/>
      <c r="C124" s="42" t="s">
        <v>219</v>
      </c>
      <c r="D124" s="42">
        <f>SUM(D119:D123)/5</f>
        <v>77.599999999999994</v>
      </c>
      <c r="E124" s="47">
        <f>SUM(E119:E123)/5</f>
        <v>0.52789115646258511</v>
      </c>
      <c r="G124" s="39"/>
      <c r="H124" s="2"/>
      <c r="I124" s="39"/>
      <c r="J124" s="2"/>
      <c r="K124" s="39"/>
      <c r="L124" s="2"/>
      <c r="M124" s="40"/>
      <c r="N124"/>
      <c r="O124" s="41"/>
    </row>
    <row r="125" spans="2:15" ht="14.4" thickBot="1" x14ac:dyDescent="0.3">
      <c r="B125" s="115" t="s">
        <v>181</v>
      </c>
      <c r="C125" s="43">
        <v>2018</v>
      </c>
      <c r="D125" s="43">
        <f>X265+X399+X534+U669+S803+S938+X1073+X1209</f>
        <v>76</v>
      </c>
      <c r="E125" s="44">
        <f t="shared" si="0"/>
        <v>0.51700680272108845</v>
      </c>
      <c r="F125" s="2"/>
      <c r="G125" s="2"/>
      <c r="H125" s="2"/>
      <c r="I125" s="2"/>
      <c r="J125" s="2"/>
      <c r="K125" s="2"/>
      <c r="L125" s="2"/>
    </row>
    <row r="126" spans="2:15" ht="14.4" thickBot="1" x14ac:dyDescent="0.3">
      <c r="B126" s="116"/>
      <c r="C126" s="43">
        <v>2019</v>
      </c>
      <c r="D126" s="43">
        <f>X266+X400+X535+U670+S804+S939+X1074+X1210</f>
        <v>76</v>
      </c>
      <c r="E126" s="44">
        <f t="shared" si="0"/>
        <v>0.51700680272108845</v>
      </c>
      <c r="F126" s="2"/>
      <c r="G126" s="2"/>
      <c r="H126" s="2"/>
      <c r="I126" s="2"/>
      <c r="J126" s="2"/>
      <c r="K126" s="2"/>
      <c r="L126" s="2"/>
    </row>
    <row r="127" spans="2:15" ht="14.4" thickBot="1" x14ac:dyDescent="0.3">
      <c r="B127" s="116"/>
      <c r="C127" s="43">
        <v>2020</v>
      </c>
      <c r="D127" s="43">
        <f>X267+X401+X536+U671+S805+S940+X1075+X1211</f>
        <v>81</v>
      </c>
      <c r="E127" s="44">
        <f t="shared" si="0"/>
        <v>0.55102040816326525</v>
      </c>
      <c r="F127" s="2"/>
      <c r="G127" s="2"/>
      <c r="H127" s="2"/>
      <c r="I127" s="2"/>
      <c r="J127" s="2"/>
      <c r="K127" s="2"/>
      <c r="L127" s="2"/>
    </row>
    <row r="128" spans="2:15" ht="14.4" thickBot="1" x14ac:dyDescent="0.3">
      <c r="B128" s="116"/>
      <c r="C128" s="43">
        <v>2021</v>
      </c>
      <c r="D128" s="43">
        <f>X268+X402+X537+U672+S806+S941+X1076+X1212</f>
        <v>86</v>
      </c>
      <c r="E128" s="44">
        <f t="shared" si="0"/>
        <v>0.58503401360544216</v>
      </c>
      <c r="F128" s="2"/>
      <c r="G128" s="2"/>
      <c r="H128" s="2"/>
      <c r="I128" s="2"/>
      <c r="J128" s="2"/>
      <c r="K128" s="2"/>
      <c r="L128" s="2"/>
    </row>
    <row r="129" spans="2:15" ht="14.4" thickBot="1" x14ac:dyDescent="0.3">
      <c r="B129" s="116"/>
      <c r="C129" s="43">
        <v>2022</v>
      </c>
      <c r="D129" s="43">
        <f>X269+X403+X538+U673+S807+S942+X1077+X1213</f>
        <v>89</v>
      </c>
      <c r="E129" s="44">
        <f t="shared" si="0"/>
        <v>0.60544217687074831</v>
      </c>
      <c r="F129" s="2"/>
      <c r="G129" s="2"/>
      <c r="H129" s="2"/>
      <c r="I129" s="2"/>
      <c r="J129" s="2"/>
      <c r="K129" s="2"/>
      <c r="L129" s="2"/>
    </row>
    <row r="130" spans="2:15" s="38" customFormat="1" ht="14.4" thickBot="1" x14ac:dyDescent="0.3">
      <c r="B130" s="46"/>
      <c r="C130" s="42" t="s">
        <v>219</v>
      </c>
      <c r="D130" s="42">
        <f>SUM(D125:D129)/5</f>
        <v>81.599999999999994</v>
      </c>
      <c r="E130" s="47">
        <f>SUM(E125:E129)/5</f>
        <v>0.55510204081632653</v>
      </c>
      <c r="G130" s="39"/>
      <c r="H130" s="2"/>
      <c r="I130" s="39"/>
      <c r="J130" s="2"/>
      <c r="K130" s="39"/>
      <c r="L130" s="2"/>
      <c r="M130" s="40"/>
      <c r="N130"/>
      <c r="O130" s="41"/>
    </row>
    <row r="131" spans="2:15" ht="14.4" thickBot="1" x14ac:dyDescent="0.3">
      <c r="B131" s="115" t="s">
        <v>182</v>
      </c>
      <c r="C131" s="43">
        <v>2018</v>
      </c>
      <c r="D131" s="43">
        <f>X270+X404+X539+U674+S808+S943+X1078+X1214</f>
        <v>84</v>
      </c>
      <c r="E131" s="44">
        <f t="shared" si="0"/>
        <v>0.5714285714285714</v>
      </c>
      <c r="F131" s="2"/>
      <c r="G131" s="2"/>
      <c r="H131" s="2"/>
      <c r="I131" s="2"/>
      <c r="J131" s="2"/>
      <c r="K131" s="2"/>
      <c r="L131" s="2"/>
    </row>
    <row r="132" spans="2:15" ht="14.4" thickBot="1" x14ac:dyDescent="0.3">
      <c r="B132" s="116"/>
      <c r="C132" s="43">
        <v>2019</v>
      </c>
      <c r="D132" s="43">
        <f>X271+X405+X540+U675+S809+S944+X1079+X1215</f>
        <v>68</v>
      </c>
      <c r="E132" s="44">
        <f t="shared" si="0"/>
        <v>0.46258503401360546</v>
      </c>
      <c r="F132" s="2"/>
      <c r="G132" s="2"/>
      <c r="H132" s="2"/>
      <c r="I132" s="2"/>
      <c r="J132" s="2"/>
      <c r="K132" s="2"/>
      <c r="L132" s="2"/>
    </row>
    <row r="133" spans="2:15" ht="14.4" thickBot="1" x14ac:dyDescent="0.3">
      <c r="B133" s="116"/>
      <c r="C133" s="43">
        <v>2020</v>
      </c>
      <c r="D133" s="43">
        <f>X272+X406+X541+U676+S810+S945+X1080+X1216</f>
        <v>75</v>
      </c>
      <c r="E133" s="44">
        <f t="shared" si="0"/>
        <v>0.51020408163265307</v>
      </c>
      <c r="F133" s="2"/>
      <c r="G133" s="2"/>
      <c r="H133" s="2"/>
      <c r="I133" s="2"/>
      <c r="J133" s="2"/>
      <c r="K133" s="2"/>
      <c r="L133" s="2"/>
    </row>
    <row r="134" spans="2:15" ht="14.4" thickBot="1" x14ac:dyDescent="0.3">
      <c r="B134" s="116"/>
      <c r="C134" s="43">
        <v>2021</v>
      </c>
      <c r="D134" s="43">
        <f>X273+X407+X542+U677+S811+S946+X1081+X1217</f>
        <v>72</v>
      </c>
      <c r="E134" s="44">
        <f t="shared" si="0"/>
        <v>0.48979591836734693</v>
      </c>
      <c r="F134" s="2"/>
      <c r="G134" s="2"/>
      <c r="H134" s="2"/>
      <c r="I134" s="2"/>
      <c r="J134" s="2"/>
      <c r="K134" s="2"/>
      <c r="L134" s="2"/>
    </row>
    <row r="135" spans="2:15" ht="14.4" thickBot="1" x14ac:dyDescent="0.3">
      <c r="B135" s="116"/>
      <c r="C135" s="43">
        <v>2022</v>
      </c>
      <c r="D135" s="43">
        <f>X274+X408+X543+U678+S812+S947+X1082+X1218</f>
        <v>71</v>
      </c>
      <c r="E135" s="44">
        <f t="shared" si="0"/>
        <v>0.48299319727891155</v>
      </c>
      <c r="F135" s="2"/>
      <c r="G135" s="2"/>
      <c r="H135" s="2"/>
      <c r="I135" s="2"/>
      <c r="J135" s="2"/>
      <c r="K135" s="2"/>
      <c r="L135" s="2"/>
    </row>
    <row r="136" spans="2:15" s="38" customFormat="1" ht="14.4" thickBot="1" x14ac:dyDescent="0.3">
      <c r="B136" s="46"/>
      <c r="C136" s="42" t="s">
        <v>219</v>
      </c>
      <c r="D136" s="42">
        <f>SUM(D131:D135)/5</f>
        <v>74</v>
      </c>
      <c r="E136" s="47">
        <f>SUM(E131:E135)/5</f>
        <v>0.50340136054421769</v>
      </c>
      <c r="G136" s="39"/>
      <c r="H136" s="2"/>
      <c r="I136" s="39"/>
      <c r="J136" s="2"/>
      <c r="K136" s="39"/>
      <c r="L136" s="2"/>
      <c r="M136" s="40"/>
      <c r="N136"/>
      <c r="O136" s="41"/>
    </row>
    <row r="137" spans="2:15" ht="14.4" thickBot="1" x14ac:dyDescent="0.3">
      <c r="B137" s="115" t="s">
        <v>183</v>
      </c>
      <c r="C137" s="43">
        <v>2018</v>
      </c>
      <c r="D137" s="43">
        <f>X275+X409+X544+U679+S813+S948+X1083+X1219</f>
        <v>79</v>
      </c>
      <c r="E137" s="44">
        <f t="shared" si="0"/>
        <v>0.5374149659863946</v>
      </c>
      <c r="F137" s="2"/>
      <c r="G137" s="6"/>
      <c r="H137" s="2"/>
      <c r="I137" s="2"/>
      <c r="J137" s="2"/>
      <c r="K137" s="2"/>
      <c r="L137" s="2"/>
    </row>
    <row r="138" spans="2:15" ht="14.4" thickBot="1" x14ac:dyDescent="0.3">
      <c r="B138" s="116"/>
      <c r="C138" s="43">
        <v>2019</v>
      </c>
      <c r="D138" s="43">
        <f>X276+X410+X545+U680+S814+S949+X1084+X1220</f>
        <v>82</v>
      </c>
      <c r="E138" s="44">
        <f t="shared" si="0"/>
        <v>0.55782312925170063</v>
      </c>
      <c r="F138" s="2"/>
      <c r="G138" s="6"/>
      <c r="H138" s="2"/>
      <c r="I138" s="2"/>
      <c r="J138" s="2"/>
      <c r="K138" s="2"/>
      <c r="L138" s="2"/>
    </row>
    <row r="139" spans="2:15" ht="14.4" thickBot="1" x14ac:dyDescent="0.3">
      <c r="B139" s="116"/>
      <c r="C139" s="43">
        <v>2020</v>
      </c>
      <c r="D139" s="43">
        <f>X277+X411+X546+U681+S815+S950+X1085+X1221</f>
        <v>78</v>
      </c>
      <c r="E139" s="44">
        <f t="shared" si="0"/>
        <v>0.53061224489795922</v>
      </c>
      <c r="F139" s="2"/>
      <c r="G139" s="6"/>
      <c r="H139" s="2"/>
      <c r="I139" s="2"/>
      <c r="J139" s="2"/>
      <c r="K139" s="2"/>
      <c r="L139" s="2"/>
    </row>
    <row r="140" spans="2:15" ht="14.4" thickBot="1" x14ac:dyDescent="0.3">
      <c r="B140" s="116"/>
      <c r="C140" s="43">
        <v>2021</v>
      </c>
      <c r="D140" s="43">
        <f>X278+X412+X547+U682+S816+S951+X1086+X1222</f>
        <v>81</v>
      </c>
      <c r="E140" s="44">
        <f t="shared" si="0"/>
        <v>0.55102040816326525</v>
      </c>
      <c r="F140" s="2"/>
      <c r="G140" s="6"/>
      <c r="H140" s="2"/>
      <c r="I140" s="2"/>
      <c r="J140" s="2"/>
      <c r="K140" s="2"/>
      <c r="L140" s="2"/>
    </row>
    <row r="141" spans="2:15" ht="14.4" thickBot="1" x14ac:dyDescent="0.3">
      <c r="B141" s="116"/>
      <c r="C141" s="43">
        <v>2022</v>
      </c>
      <c r="D141" s="43">
        <f>X279+X413+X548+U683+S817+S952+X1087+X1223</f>
        <v>74</v>
      </c>
      <c r="E141" s="44">
        <f t="shared" si="0"/>
        <v>0.50340136054421769</v>
      </c>
      <c r="F141" s="2"/>
      <c r="G141" s="6"/>
      <c r="H141" s="2"/>
      <c r="I141" s="2"/>
      <c r="J141" s="2"/>
      <c r="K141" s="2"/>
      <c r="L141" s="2"/>
    </row>
    <row r="142" spans="2:15" s="38" customFormat="1" ht="14.4" thickBot="1" x14ac:dyDescent="0.3">
      <c r="B142" s="46"/>
      <c r="C142" s="42" t="s">
        <v>219</v>
      </c>
      <c r="D142" s="42">
        <f>SUM(D137:D141)/5</f>
        <v>78.8</v>
      </c>
      <c r="E142" s="47">
        <f>SUM(E137:E141)/5</f>
        <v>0.53605442176870755</v>
      </c>
      <c r="G142" s="39"/>
      <c r="H142" s="2"/>
      <c r="I142" s="39"/>
      <c r="J142" s="2"/>
      <c r="K142" s="39"/>
      <c r="L142" s="2"/>
      <c r="M142" s="40"/>
      <c r="N142"/>
      <c r="O142" s="41"/>
    </row>
    <row r="143" spans="2:15" ht="14.4" thickBot="1" x14ac:dyDescent="0.3">
      <c r="B143" s="115" t="s">
        <v>184</v>
      </c>
      <c r="C143" s="43">
        <v>2018</v>
      </c>
      <c r="D143" s="43">
        <f>X280+X414+X549+U684+S818+S953+X1088+X1224</f>
        <v>79</v>
      </c>
      <c r="E143" s="44">
        <f t="shared" si="0"/>
        <v>0.5374149659863946</v>
      </c>
      <c r="F143" s="2"/>
      <c r="G143" s="6"/>
      <c r="H143" s="2"/>
      <c r="I143" s="2"/>
      <c r="J143" s="2"/>
      <c r="K143" s="2"/>
      <c r="L143" s="2"/>
    </row>
    <row r="144" spans="2:15" ht="14.4" thickBot="1" x14ac:dyDescent="0.3">
      <c r="B144" s="116"/>
      <c r="C144" s="43">
        <v>2019</v>
      </c>
      <c r="D144" s="43">
        <f>X281+X415+X550+U685+S819+S954+X1089+X1225</f>
        <v>73</v>
      </c>
      <c r="E144" s="44">
        <f t="shared" si="0"/>
        <v>0.49659863945578231</v>
      </c>
      <c r="F144" s="2"/>
      <c r="G144" s="6"/>
      <c r="H144" s="2"/>
      <c r="I144" s="2"/>
      <c r="J144" s="2"/>
      <c r="K144" s="2"/>
      <c r="L144" s="2"/>
    </row>
    <row r="145" spans="2:15" ht="14.4" thickBot="1" x14ac:dyDescent="0.3">
      <c r="B145" s="116"/>
      <c r="C145" s="43">
        <v>2020</v>
      </c>
      <c r="D145" s="43">
        <f>X282+X416+X551+U686+S820+S955+X1090+X1226</f>
        <v>82</v>
      </c>
      <c r="E145" s="44">
        <f t="shared" si="0"/>
        <v>0.55782312925170063</v>
      </c>
      <c r="F145" s="2"/>
      <c r="G145" s="6"/>
      <c r="H145" s="2"/>
      <c r="I145" s="2"/>
      <c r="J145" s="2"/>
      <c r="K145" s="2"/>
      <c r="L145" s="2"/>
    </row>
    <row r="146" spans="2:15" ht="14.4" thickBot="1" x14ac:dyDescent="0.3">
      <c r="B146" s="116"/>
      <c r="C146" s="43">
        <v>2021</v>
      </c>
      <c r="D146" s="43">
        <f>X283+X417+X552+U687+S821+S956+X1091+X1227</f>
        <v>76</v>
      </c>
      <c r="E146" s="44">
        <f t="shared" si="0"/>
        <v>0.51700680272108845</v>
      </c>
      <c r="F146" s="2"/>
      <c r="G146" s="6"/>
      <c r="H146" s="2"/>
      <c r="I146" s="2"/>
      <c r="J146" s="2"/>
      <c r="K146" s="2"/>
      <c r="L146" s="2"/>
    </row>
    <row r="147" spans="2:15" ht="14.4" thickBot="1" x14ac:dyDescent="0.3">
      <c r="B147" s="116"/>
      <c r="C147" s="43">
        <v>2022</v>
      </c>
      <c r="D147" s="43">
        <f>X284+X418+X553+U688+S822+S957+X1092+X1228</f>
        <v>80</v>
      </c>
      <c r="E147" s="44">
        <f t="shared" si="0"/>
        <v>0.54421768707482998</v>
      </c>
      <c r="F147" s="2"/>
      <c r="G147" s="6"/>
      <c r="H147" s="2"/>
      <c r="I147" s="2"/>
      <c r="J147" s="2"/>
      <c r="K147" s="2"/>
      <c r="L147" s="2"/>
    </row>
    <row r="148" spans="2:15" s="38" customFormat="1" ht="14.4" thickBot="1" x14ac:dyDescent="0.3">
      <c r="B148" s="46"/>
      <c r="C148" s="42" t="s">
        <v>219</v>
      </c>
      <c r="D148" s="42">
        <f>SUM(D143:D147)/5</f>
        <v>78</v>
      </c>
      <c r="E148" s="47">
        <f>SUM(E143:E147)/5</f>
        <v>0.53061224489795922</v>
      </c>
      <c r="G148" s="39"/>
      <c r="H148" s="2"/>
      <c r="I148" s="39"/>
      <c r="J148" s="2"/>
      <c r="K148" s="39"/>
      <c r="L148" s="2"/>
      <c r="M148" s="40"/>
      <c r="N148"/>
      <c r="O148" s="41"/>
    </row>
    <row r="149" spans="2:15" ht="14.4" thickBot="1" x14ac:dyDescent="0.3">
      <c r="B149" s="115" t="s">
        <v>185</v>
      </c>
      <c r="C149" s="43">
        <v>2018</v>
      </c>
      <c r="D149" s="43">
        <f>X285+X419+X554+U689+S823+S958+X1093+X1229</f>
        <v>73</v>
      </c>
      <c r="E149" s="44">
        <f t="shared" si="0"/>
        <v>0.49659863945578231</v>
      </c>
      <c r="F149" s="2"/>
      <c r="G149" s="6"/>
      <c r="H149" s="2"/>
      <c r="I149" s="2"/>
      <c r="J149" s="2"/>
      <c r="K149" s="2"/>
      <c r="L149" s="2"/>
    </row>
    <row r="150" spans="2:15" ht="14.4" thickBot="1" x14ac:dyDescent="0.3">
      <c r="B150" s="116"/>
      <c r="C150" s="43">
        <v>2019</v>
      </c>
      <c r="D150" s="43">
        <f>X286+X420+X555+U690+S824+S959+X1094+X1230</f>
        <v>72</v>
      </c>
      <c r="E150" s="44">
        <f t="shared" si="0"/>
        <v>0.48979591836734693</v>
      </c>
      <c r="F150" s="2"/>
      <c r="G150" s="6"/>
      <c r="H150" s="2"/>
      <c r="I150" s="2"/>
      <c r="J150" s="2"/>
      <c r="K150" s="2"/>
      <c r="L150" s="2"/>
    </row>
    <row r="151" spans="2:15" ht="14.4" thickBot="1" x14ac:dyDescent="0.3">
      <c r="B151" s="116"/>
      <c r="C151" s="43">
        <v>2020</v>
      </c>
      <c r="D151" s="43">
        <f>X287+X421+X556+U691+S825+S960+X1095+X1231</f>
        <v>82</v>
      </c>
      <c r="E151" s="44">
        <f t="shared" si="0"/>
        <v>0.55782312925170063</v>
      </c>
      <c r="F151" s="2"/>
      <c r="G151" s="6"/>
      <c r="H151" s="2"/>
      <c r="I151" s="2"/>
      <c r="J151" s="2"/>
      <c r="K151" s="2"/>
      <c r="L151" s="2"/>
    </row>
    <row r="152" spans="2:15" ht="14.4" thickBot="1" x14ac:dyDescent="0.3">
      <c r="B152" s="116"/>
      <c r="C152" s="43">
        <v>2021</v>
      </c>
      <c r="D152" s="43">
        <f>X288+X422+X557+U692+S826+S961+X1096+X1232</f>
        <v>82</v>
      </c>
      <c r="E152" s="44">
        <f t="shared" si="0"/>
        <v>0.55782312925170063</v>
      </c>
      <c r="F152" s="2"/>
      <c r="G152" s="6"/>
      <c r="H152" s="2"/>
      <c r="I152" s="2"/>
      <c r="J152" s="2"/>
      <c r="K152" s="2"/>
      <c r="L152" s="2"/>
    </row>
    <row r="153" spans="2:15" ht="14.4" thickBot="1" x14ac:dyDescent="0.3">
      <c r="B153" s="116"/>
      <c r="C153" s="43">
        <v>2022</v>
      </c>
      <c r="D153" s="43">
        <f>X289+X423+X558+U693+S827+S962+X1097+X1233</f>
        <v>69</v>
      </c>
      <c r="E153" s="44">
        <f t="shared" si="0"/>
        <v>0.46938775510204084</v>
      </c>
      <c r="F153" s="2"/>
      <c r="G153" s="6"/>
      <c r="H153" s="2"/>
      <c r="I153" s="2"/>
      <c r="J153" s="2"/>
      <c r="K153" s="2"/>
      <c r="L153" s="2"/>
    </row>
    <row r="154" spans="2:15" s="38" customFormat="1" ht="14.4" thickBot="1" x14ac:dyDescent="0.3">
      <c r="B154" s="46"/>
      <c r="C154" s="42" t="s">
        <v>219</v>
      </c>
      <c r="D154" s="42">
        <f>SUM(D149:D153)/5</f>
        <v>75.599999999999994</v>
      </c>
      <c r="E154" s="47">
        <f>SUM(E149:E153)/5</f>
        <v>0.51428571428571423</v>
      </c>
      <c r="G154" s="39"/>
      <c r="H154" s="2"/>
      <c r="I154" s="39"/>
      <c r="J154" s="2"/>
      <c r="K154" s="39"/>
      <c r="L154" s="2"/>
      <c r="M154" s="40"/>
      <c r="N154"/>
      <c r="O154" s="41"/>
    </row>
    <row r="155" spans="2:15" ht="14.4" thickBot="1" x14ac:dyDescent="0.3">
      <c r="B155" s="115" t="s">
        <v>186</v>
      </c>
      <c r="C155" s="43">
        <v>2018</v>
      </c>
      <c r="D155" s="43">
        <f t="shared" ref="D155:D159" si="1">X290+X424+X559+U694+S828+S963+X1098+X1234</f>
        <v>72</v>
      </c>
      <c r="E155" s="44">
        <f t="shared" si="0"/>
        <v>0.48979591836734693</v>
      </c>
      <c r="F155" s="2"/>
      <c r="G155" s="6"/>
      <c r="H155" s="2"/>
      <c r="I155" s="2"/>
      <c r="J155" s="2"/>
      <c r="K155" s="2"/>
      <c r="L155" s="2"/>
    </row>
    <row r="156" spans="2:15" ht="14.4" thickBot="1" x14ac:dyDescent="0.3">
      <c r="B156" s="116"/>
      <c r="C156" s="43">
        <v>2019</v>
      </c>
      <c r="D156" s="43">
        <f t="shared" si="1"/>
        <v>78</v>
      </c>
      <c r="E156" s="44">
        <f t="shared" si="0"/>
        <v>0.53061224489795922</v>
      </c>
      <c r="F156" s="2"/>
      <c r="G156" s="6"/>
      <c r="H156" s="2"/>
      <c r="I156" s="2"/>
      <c r="J156" s="2"/>
      <c r="K156" s="2"/>
      <c r="L156" s="2"/>
    </row>
    <row r="157" spans="2:15" ht="14.4" thickBot="1" x14ac:dyDescent="0.3">
      <c r="B157" s="116"/>
      <c r="C157" s="43">
        <v>2020</v>
      </c>
      <c r="D157" s="43">
        <f t="shared" si="1"/>
        <v>80</v>
      </c>
      <c r="E157" s="44">
        <f t="shared" si="0"/>
        <v>0.54421768707482998</v>
      </c>
      <c r="F157" s="2"/>
      <c r="G157" s="6"/>
      <c r="H157" s="2"/>
      <c r="I157" s="2"/>
      <c r="J157" s="2"/>
      <c r="K157" s="2"/>
      <c r="L157" s="2"/>
    </row>
    <row r="158" spans="2:15" ht="14.4" thickBot="1" x14ac:dyDescent="0.3">
      <c r="B158" s="116"/>
      <c r="C158" s="43">
        <v>2021</v>
      </c>
      <c r="D158" s="43">
        <f t="shared" si="1"/>
        <v>71</v>
      </c>
      <c r="E158" s="44">
        <f t="shared" si="0"/>
        <v>0.48299319727891155</v>
      </c>
      <c r="F158" s="2"/>
      <c r="G158" s="6"/>
      <c r="H158" s="2"/>
      <c r="I158" s="2"/>
      <c r="J158" s="2"/>
      <c r="K158" s="2"/>
      <c r="L158" s="2"/>
    </row>
    <row r="159" spans="2:15" ht="14.4" thickBot="1" x14ac:dyDescent="0.3">
      <c r="B159" s="116"/>
      <c r="C159" s="43">
        <v>2022</v>
      </c>
      <c r="D159" s="43">
        <f t="shared" si="1"/>
        <v>79</v>
      </c>
      <c r="E159" s="44">
        <f t="shared" si="0"/>
        <v>0.5374149659863946</v>
      </c>
      <c r="F159" s="2"/>
      <c r="G159" s="2"/>
      <c r="H159" s="2"/>
      <c r="I159" s="2"/>
      <c r="J159" s="2"/>
      <c r="K159" s="2"/>
      <c r="L159" s="2"/>
    </row>
    <row r="160" spans="2:15" s="38" customFormat="1" ht="14.4" thickBot="1" x14ac:dyDescent="0.3">
      <c r="B160" s="46"/>
      <c r="C160" s="42" t="s">
        <v>219</v>
      </c>
      <c r="D160" s="42">
        <f>SUM(D155:D159)/5</f>
        <v>76</v>
      </c>
      <c r="E160" s="47">
        <f>SUM(E155:E159)/5</f>
        <v>0.51700680272108834</v>
      </c>
      <c r="G160" s="39"/>
      <c r="H160" s="2"/>
      <c r="I160" s="39"/>
      <c r="J160" s="2"/>
      <c r="K160" s="39"/>
      <c r="L160" s="2"/>
      <c r="M160" s="40"/>
      <c r="N160"/>
      <c r="O160" s="41"/>
    </row>
    <row r="161" spans="2:24" ht="13.2" x14ac:dyDescent="0.25">
      <c r="B161" s="2"/>
      <c r="C161" s="2"/>
      <c r="D161" s="2"/>
      <c r="E161" s="2"/>
      <c r="F161" s="2"/>
      <c r="G161" s="2"/>
      <c r="H161" s="2"/>
      <c r="I161" s="2"/>
      <c r="J161" s="2"/>
      <c r="K161" s="2"/>
      <c r="L161" s="2"/>
    </row>
    <row r="162" spans="2:24" ht="13.2" x14ac:dyDescent="0.25">
      <c r="B162" s="2"/>
      <c r="C162" s="2"/>
      <c r="D162" s="2"/>
      <c r="E162" s="2"/>
      <c r="F162" s="2"/>
      <c r="G162" s="2"/>
      <c r="H162" s="2"/>
      <c r="I162" s="2"/>
      <c r="J162" s="2"/>
      <c r="K162" s="2"/>
      <c r="L162" s="2"/>
    </row>
    <row r="163" spans="2:24" ht="22.5" customHeight="1" x14ac:dyDescent="0.25">
      <c r="B163" s="111" t="s">
        <v>6</v>
      </c>
      <c r="C163" s="107"/>
      <c r="D163" s="105" t="s">
        <v>187</v>
      </c>
      <c r="E163" s="106"/>
      <c r="F163" s="106"/>
      <c r="G163" s="106"/>
      <c r="H163" s="106"/>
      <c r="I163" s="106"/>
      <c r="J163" s="106"/>
      <c r="K163" s="106"/>
      <c r="L163" s="106"/>
      <c r="M163" s="106"/>
      <c r="N163" s="106"/>
      <c r="O163" s="106"/>
      <c r="P163" s="106"/>
      <c r="Q163" s="106"/>
      <c r="R163" s="106"/>
      <c r="S163" s="106"/>
      <c r="T163" s="106"/>
      <c r="U163" s="106"/>
      <c r="V163" s="106"/>
      <c r="W163" s="107"/>
    </row>
    <row r="164" spans="2:24" ht="13.8" x14ac:dyDescent="0.25">
      <c r="B164" s="5" t="s">
        <v>6</v>
      </c>
      <c r="C164" s="5" t="s">
        <v>7</v>
      </c>
      <c r="D164" s="12" t="s">
        <v>10</v>
      </c>
      <c r="E164" s="12" t="s">
        <v>19</v>
      </c>
      <c r="F164" s="12" t="s">
        <v>23</v>
      </c>
      <c r="G164" s="12" t="s">
        <v>27</v>
      </c>
      <c r="H164" s="12" t="s">
        <v>31</v>
      </c>
      <c r="I164" s="12" t="str">
        <f>G9</f>
        <v>SU2-5</v>
      </c>
      <c r="J164" s="5" t="str">
        <f>G11</f>
        <v>SU2-6</v>
      </c>
      <c r="K164" s="5" t="str">
        <f>G12</f>
        <v>SU2-7</v>
      </c>
      <c r="L164" s="5" t="str">
        <f>G13</f>
        <v>SU2-8</v>
      </c>
      <c r="M164" s="13" t="str">
        <f>G14</f>
        <v>SU2-9</v>
      </c>
      <c r="N164" s="12" t="s">
        <v>56</v>
      </c>
      <c r="O164" s="12" t="s">
        <v>61</v>
      </c>
      <c r="P164" s="12" t="s">
        <v>65</v>
      </c>
      <c r="Q164" s="12" t="s">
        <v>69</v>
      </c>
      <c r="R164" s="12" t="s">
        <v>73</v>
      </c>
      <c r="S164" s="12" t="s">
        <v>77</v>
      </c>
      <c r="T164" s="12" t="s">
        <v>82</v>
      </c>
      <c r="U164" s="12" t="s">
        <v>86</v>
      </c>
      <c r="V164" s="12" t="s">
        <v>89</v>
      </c>
      <c r="W164" s="12" t="s">
        <v>92</v>
      </c>
    </row>
    <row r="165" spans="2:24" ht="13.2" x14ac:dyDescent="0.25">
      <c r="B165" s="114" t="s">
        <v>18</v>
      </c>
      <c r="C165" s="9">
        <v>2018</v>
      </c>
      <c r="D165" s="9">
        <v>1</v>
      </c>
      <c r="E165" s="9">
        <v>1</v>
      </c>
      <c r="F165" s="9">
        <v>1</v>
      </c>
      <c r="G165" s="9">
        <v>1</v>
      </c>
      <c r="H165" s="9">
        <v>1</v>
      </c>
      <c r="I165" s="9">
        <v>1</v>
      </c>
      <c r="J165" s="9">
        <v>1</v>
      </c>
      <c r="K165" s="9">
        <v>1</v>
      </c>
      <c r="L165" s="9">
        <v>1</v>
      </c>
      <c r="M165" s="9">
        <v>1</v>
      </c>
      <c r="N165" s="9">
        <v>1</v>
      </c>
      <c r="O165" s="9">
        <v>1</v>
      </c>
      <c r="P165" s="9">
        <v>0</v>
      </c>
      <c r="Q165" s="9">
        <v>0</v>
      </c>
      <c r="R165" s="9">
        <v>1</v>
      </c>
      <c r="S165" s="9">
        <v>1</v>
      </c>
      <c r="T165" s="9">
        <v>0</v>
      </c>
      <c r="U165" s="9">
        <v>0</v>
      </c>
      <c r="V165" s="9">
        <v>1</v>
      </c>
      <c r="W165" s="9">
        <v>0</v>
      </c>
      <c r="X165" s="1">
        <f t="shared" ref="X165:X294" si="2">SUM(D165:W165)</f>
        <v>15</v>
      </c>
    </row>
    <row r="166" spans="2:24" ht="13.2" x14ac:dyDescent="0.25">
      <c r="B166" s="109"/>
      <c r="C166" s="9">
        <v>2019</v>
      </c>
      <c r="D166" s="9">
        <v>1</v>
      </c>
      <c r="E166" s="9">
        <v>1</v>
      </c>
      <c r="F166" s="9">
        <v>1</v>
      </c>
      <c r="G166" s="9">
        <v>1</v>
      </c>
      <c r="H166" s="9">
        <v>1</v>
      </c>
      <c r="I166" s="9">
        <v>1</v>
      </c>
      <c r="J166" s="9">
        <v>1</v>
      </c>
      <c r="K166" s="9">
        <v>1</v>
      </c>
      <c r="L166" s="9">
        <v>1</v>
      </c>
      <c r="M166" s="9">
        <v>1</v>
      </c>
      <c r="N166" s="9">
        <v>1</v>
      </c>
      <c r="O166" s="9">
        <v>1</v>
      </c>
      <c r="P166" s="9">
        <v>1</v>
      </c>
      <c r="Q166" s="9">
        <v>1</v>
      </c>
      <c r="R166" s="9">
        <v>0</v>
      </c>
      <c r="S166" s="9">
        <v>1</v>
      </c>
      <c r="T166" s="9">
        <v>1</v>
      </c>
      <c r="U166" s="9">
        <v>1</v>
      </c>
      <c r="V166" s="9">
        <v>1</v>
      </c>
      <c r="W166" s="9">
        <v>1</v>
      </c>
      <c r="X166" s="1">
        <f t="shared" si="2"/>
        <v>19</v>
      </c>
    </row>
    <row r="167" spans="2:24" ht="13.2" x14ac:dyDescent="0.25">
      <c r="B167" s="109"/>
      <c r="C167" s="9">
        <v>2020</v>
      </c>
      <c r="D167" s="9">
        <v>1</v>
      </c>
      <c r="E167" s="9">
        <v>1</v>
      </c>
      <c r="F167" s="9">
        <v>1</v>
      </c>
      <c r="G167" s="9">
        <v>1</v>
      </c>
      <c r="H167" s="9">
        <v>1</v>
      </c>
      <c r="I167" s="9">
        <v>1</v>
      </c>
      <c r="J167" s="9">
        <v>1</v>
      </c>
      <c r="K167" s="9">
        <v>1</v>
      </c>
      <c r="L167" s="9">
        <v>1</v>
      </c>
      <c r="M167" s="9">
        <v>1</v>
      </c>
      <c r="N167" s="9">
        <v>1</v>
      </c>
      <c r="O167" s="9">
        <v>1</v>
      </c>
      <c r="P167" s="9">
        <v>0</v>
      </c>
      <c r="Q167" s="9">
        <v>1</v>
      </c>
      <c r="R167" s="9">
        <v>0</v>
      </c>
      <c r="S167" s="9">
        <v>1</v>
      </c>
      <c r="T167" s="9">
        <v>0</v>
      </c>
      <c r="U167" s="9">
        <v>1</v>
      </c>
      <c r="V167" s="9">
        <v>0</v>
      </c>
      <c r="W167" s="9">
        <v>0</v>
      </c>
      <c r="X167" s="1">
        <f t="shared" si="2"/>
        <v>15</v>
      </c>
    </row>
    <row r="168" spans="2:24" ht="13.2" x14ac:dyDescent="0.25">
      <c r="B168" s="109"/>
      <c r="C168" s="9">
        <v>2021</v>
      </c>
      <c r="D168" s="9">
        <v>1</v>
      </c>
      <c r="E168" s="9">
        <v>1</v>
      </c>
      <c r="F168" s="9">
        <v>1</v>
      </c>
      <c r="G168" s="9">
        <v>1</v>
      </c>
      <c r="H168" s="9">
        <v>1</v>
      </c>
      <c r="I168" s="9">
        <v>1</v>
      </c>
      <c r="J168" s="9">
        <v>1</v>
      </c>
      <c r="K168" s="9">
        <v>1</v>
      </c>
      <c r="L168" s="9">
        <v>1</v>
      </c>
      <c r="M168" s="9">
        <v>1</v>
      </c>
      <c r="N168" s="9">
        <v>1</v>
      </c>
      <c r="O168" s="9">
        <v>1</v>
      </c>
      <c r="P168" s="9">
        <v>1</v>
      </c>
      <c r="Q168" s="9">
        <v>1</v>
      </c>
      <c r="R168" s="9">
        <v>1</v>
      </c>
      <c r="S168" s="9">
        <v>1</v>
      </c>
      <c r="T168" s="9">
        <v>1</v>
      </c>
      <c r="U168" s="9">
        <v>1</v>
      </c>
      <c r="V168" s="9">
        <v>1</v>
      </c>
      <c r="W168" s="9">
        <v>1</v>
      </c>
      <c r="X168" s="1">
        <f t="shared" si="2"/>
        <v>20</v>
      </c>
    </row>
    <row r="169" spans="2:24" ht="13.2" x14ac:dyDescent="0.25">
      <c r="B169" s="110"/>
      <c r="C169" s="9">
        <v>2022</v>
      </c>
      <c r="D169" s="9">
        <v>1</v>
      </c>
      <c r="E169" s="9">
        <v>1</v>
      </c>
      <c r="F169" s="9">
        <v>1</v>
      </c>
      <c r="G169" s="9">
        <v>1</v>
      </c>
      <c r="H169" s="9">
        <v>1</v>
      </c>
      <c r="I169" s="9">
        <v>1</v>
      </c>
      <c r="J169" s="9">
        <v>1</v>
      </c>
      <c r="K169" s="9">
        <v>1</v>
      </c>
      <c r="L169" s="9">
        <v>1</v>
      </c>
      <c r="M169" s="9">
        <v>1</v>
      </c>
      <c r="N169" s="9">
        <v>1</v>
      </c>
      <c r="O169" s="9">
        <v>1</v>
      </c>
      <c r="P169" s="9">
        <v>1</v>
      </c>
      <c r="Q169" s="9">
        <v>1</v>
      </c>
      <c r="R169" s="9">
        <v>1</v>
      </c>
      <c r="S169" s="9">
        <v>1</v>
      </c>
      <c r="T169" s="9">
        <v>1</v>
      </c>
      <c r="U169" s="9">
        <v>1</v>
      </c>
      <c r="V169" s="9">
        <v>1</v>
      </c>
      <c r="W169" s="9">
        <v>0</v>
      </c>
      <c r="X169" s="1">
        <f t="shared" si="2"/>
        <v>19</v>
      </c>
    </row>
    <row r="170" spans="2:24" ht="13.2" x14ac:dyDescent="0.25">
      <c r="B170" s="108" t="s">
        <v>39</v>
      </c>
      <c r="C170" s="9">
        <v>2018</v>
      </c>
      <c r="D170" s="9">
        <v>1</v>
      </c>
      <c r="E170" s="9">
        <v>1</v>
      </c>
      <c r="F170" s="9">
        <v>1</v>
      </c>
      <c r="G170" s="9">
        <v>1</v>
      </c>
      <c r="H170" s="9">
        <v>1</v>
      </c>
      <c r="I170" s="9">
        <v>1</v>
      </c>
      <c r="J170" s="9">
        <v>1</v>
      </c>
      <c r="K170" s="9">
        <v>1</v>
      </c>
      <c r="L170" s="9">
        <v>1</v>
      </c>
      <c r="M170" s="9">
        <v>1</v>
      </c>
      <c r="N170" s="9">
        <v>1</v>
      </c>
      <c r="O170" s="9">
        <v>0</v>
      </c>
      <c r="P170" s="9">
        <v>0</v>
      </c>
      <c r="Q170" s="9">
        <v>0</v>
      </c>
      <c r="R170" s="9">
        <v>0</v>
      </c>
      <c r="S170" s="9">
        <v>0</v>
      </c>
      <c r="T170" s="9">
        <v>0</v>
      </c>
      <c r="U170" s="9">
        <v>1</v>
      </c>
      <c r="V170" s="9">
        <v>0</v>
      </c>
      <c r="W170" s="9">
        <v>0</v>
      </c>
      <c r="X170" s="1">
        <f t="shared" si="2"/>
        <v>12</v>
      </c>
    </row>
    <row r="171" spans="2:24" ht="13.2" x14ac:dyDescent="0.25">
      <c r="B171" s="109"/>
      <c r="C171" s="9">
        <v>2019</v>
      </c>
      <c r="D171" s="9">
        <v>1</v>
      </c>
      <c r="E171" s="9">
        <v>1</v>
      </c>
      <c r="F171" s="9">
        <v>1</v>
      </c>
      <c r="G171" s="9">
        <v>1</v>
      </c>
      <c r="H171" s="9">
        <v>1</v>
      </c>
      <c r="I171" s="9">
        <v>1</v>
      </c>
      <c r="J171" s="9">
        <v>0</v>
      </c>
      <c r="K171" s="9">
        <v>1</v>
      </c>
      <c r="L171" s="9">
        <v>0</v>
      </c>
      <c r="M171" s="9">
        <v>1</v>
      </c>
      <c r="N171" s="9">
        <v>0</v>
      </c>
      <c r="O171" s="9">
        <v>0</v>
      </c>
      <c r="P171" s="9">
        <v>1</v>
      </c>
      <c r="Q171" s="9">
        <v>1</v>
      </c>
      <c r="R171" s="9">
        <v>1</v>
      </c>
      <c r="S171" s="9">
        <v>1</v>
      </c>
      <c r="T171" s="9">
        <v>0</v>
      </c>
      <c r="U171" s="9">
        <v>0</v>
      </c>
      <c r="V171" s="9">
        <v>1</v>
      </c>
      <c r="W171" s="9">
        <v>1</v>
      </c>
      <c r="X171" s="1">
        <f t="shared" si="2"/>
        <v>14</v>
      </c>
    </row>
    <row r="172" spans="2:24" ht="13.2" x14ac:dyDescent="0.25">
      <c r="B172" s="109"/>
      <c r="C172" s="9">
        <v>2020</v>
      </c>
      <c r="D172" s="9">
        <v>1</v>
      </c>
      <c r="E172" s="9">
        <v>1</v>
      </c>
      <c r="F172" s="9">
        <v>1</v>
      </c>
      <c r="G172" s="9">
        <v>1</v>
      </c>
      <c r="H172" s="9">
        <v>1</v>
      </c>
      <c r="I172" s="9">
        <v>1</v>
      </c>
      <c r="J172" s="9">
        <v>0</v>
      </c>
      <c r="K172" s="9">
        <v>1</v>
      </c>
      <c r="L172" s="9">
        <v>1</v>
      </c>
      <c r="M172" s="9">
        <v>0</v>
      </c>
      <c r="N172" s="9">
        <v>1</v>
      </c>
      <c r="O172" s="9">
        <v>1</v>
      </c>
      <c r="P172" s="9">
        <v>0</v>
      </c>
      <c r="Q172" s="9">
        <v>1</v>
      </c>
      <c r="R172" s="9">
        <v>0</v>
      </c>
      <c r="S172" s="9">
        <v>1</v>
      </c>
      <c r="T172" s="9">
        <v>1</v>
      </c>
      <c r="U172" s="9">
        <v>1</v>
      </c>
      <c r="V172" s="9">
        <v>1</v>
      </c>
      <c r="W172" s="9">
        <v>0</v>
      </c>
      <c r="X172" s="1">
        <f t="shared" si="2"/>
        <v>15</v>
      </c>
    </row>
    <row r="173" spans="2:24" ht="13.2" x14ac:dyDescent="0.25">
      <c r="B173" s="109"/>
      <c r="C173" s="9">
        <v>2021</v>
      </c>
      <c r="D173" s="9">
        <v>1</v>
      </c>
      <c r="E173" s="9">
        <v>1</v>
      </c>
      <c r="F173" s="9">
        <v>1</v>
      </c>
      <c r="G173" s="9">
        <v>1</v>
      </c>
      <c r="H173" s="9">
        <v>1</v>
      </c>
      <c r="I173" s="9">
        <v>1</v>
      </c>
      <c r="J173" s="9">
        <v>0</v>
      </c>
      <c r="K173" s="9">
        <v>1</v>
      </c>
      <c r="L173" s="9">
        <v>0</v>
      </c>
      <c r="M173" s="9">
        <v>1</v>
      </c>
      <c r="N173" s="9">
        <v>1</v>
      </c>
      <c r="O173" s="9">
        <v>1</v>
      </c>
      <c r="P173" s="9">
        <v>0</v>
      </c>
      <c r="Q173" s="9">
        <v>0</v>
      </c>
      <c r="R173" s="9">
        <v>0</v>
      </c>
      <c r="S173" s="9">
        <v>0</v>
      </c>
      <c r="T173" s="9">
        <v>1</v>
      </c>
      <c r="U173" s="9">
        <v>0</v>
      </c>
      <c r="V173" s="9">
        <v>0</v>
      </c>
      <c r="W173" s="9">
        <v>1</v>
      </c>
      <c r="X173" s="1">
        <f t="shared" si="2"/>
        <v>12</v>
      </c>
    </row>
    <row r="174" spans="2:24" ht="13.2" x14ac:dyDescent="0.25">
      <c r="B174" s="110"/>
      <c r="C174" s="9">
        <v>2022</v>
      </c>
      <c r="D174" s="9">
        <v>1</v>
      </c>
      <c r="E174" s="9">
        <v>1</v>
      </c>
      <c r="F174" s="9">
        <v>1</v>
      </c>
      <c r="G174" s="9">
        <v>1</v>
      </c>
      <c r="H174" s="9">
        <v>1</v>
      </c>
      <c r="I174" s="9">
        <v>1</v>
      </c>
      <c r="J174" s="9">
        <v>1</v>
      </c>
      <c r="K174" s="9">
        <v>0</v>
      </c>
      <c r="L174" s="9">
        <v>0</v>
      </c>
      <c r="M174" s="9">
        <v>1</v>
      </c>
      <c r="N174" s="9">
        <v>0</v>
      </c>
      <c r="O174" s="9">
        <v>0</v>
      </c>
      <c r="P174" s="9">
        <v>1</v>
      </c>
      <c r="Q174" s="9">
        <v>0</v>
      </c>
      <c r="R174" s="9">
        <v>1</v>
      </c>
      <c r="S174" s="9">
        <v>0</v>
      </c>
      <c r="T174" s="9">
        <v>1</v>
      </c>
      <c r="U174" s="9">
        <v>0</v>
      </c>
      <c r="V174" s="9">
        <v>0</v>
      </c>
      <c r="W174" s="9">
        <v>1</v>
      </c>
      <c r="X174" s="1">
        <f t="shared" si="2"/>
        <v>12</v>
      </c>
    </row>
    <row r="175" spans="2:24" ht="13.2" x14ac:dyDescent="0.25">
      <c r="B175" s="108" t="s">
        <v>60</v>
      </c>
      <c r="C175" s="9">
        <v>2018</v>
      </c>
      <c r="D175" s="9">
        <v>1</v>
      </c>
      <c r="E175" s="9">
        <v>1</v>
      </c>
      <c r="F175" s="9">
        <v>1</v>
      </c>
      <c r="G175" s="9">
        <v>1</v>
      </c>
      <c r="H175" s="9">
        <v>1</v>
      </c>
      <c r="I175" s="9">
        <v>1</v>
      </c>
      <c r="J175" s="9">
        <v>1</v>
      </c>
      <c r="K175" s="9">
        <v>0</v>
      </c>
      <c r="L175" s="9">
        <v>0</v>
      </c>
      <c r="M175" s="9">
        <v>1</v>
      </c>
      <c r="N175" s="9">
        <v>1</v>
      </c>
      <c r="O175" s="9">
        <v>1</v>
      </c>
      <c r="P175" s="9">
        <v>1</v>
      </c>
      <c r="Q175" s="9">
        <v>1</v>
      </c>
      <c r="R175" s="9">
        <v>0</v>
      </c>
      <c r="S175" s="9">
        <v>0</v>
      </c>
      <c r="T175" s="9">
        <v>0</v>
      </c>
      <c r="U175" s="9">
        <v>0</v>
      </c>
      <c r="V175" s="9">
        <v>1</v>
      </c>
      <c r="W175" s="9">
        <v>0</v>
      </c>
      <c r="X175" s="1">
        <f t="shared" si="2"/>
        <v>13</v>
      </c>
    </row>
    <row r="176" spans="2:24" ht="13.2" x14ac:dyDescent="0.25">
      <c r="B176" s="109"/>
      <c r="C176" s="9">
        <v>2019</v>
      </c>
      <c r="D176" s="9">
        <v>1</v>
      </c>
      <c r="E176" s="9">
        <v>1</v>
      </c>
      <c r="F176" s="9">
        <v>1</v>
      </c>
      <c r="G176" s="9">
        <v>1</v>
      </c>
      <c r="H176" s="9">
        <v>1</v>
      </c>
      <c r="I176" s="9">
        <v>1</v>
      </c>
      <c r="J176" s="9">
        <v>1</v>
      </c>
      <c r="K176" s="9">
        <v>1</v>
      </c>
      <c r="L176" s="9">
        <v>1</v>
      </c>
      <c r="M176" s="9">
        <v>1</v>
      </c>
      <c r="N176" s="9">
        <v>0</v>
      </c>
      <c r="O176" s="9">
        <v>1</v>
      </c>
      <c r="P176" s="9">
        <v>0</v>
      </c>
      <c r="Q176" s="9">
        <v>0</v>
      </c>
      <c r="R176" s="9">
        <v>0</v>
      </c>
      <c r="S176" s="9">
        <v>0</v>
      </c>
      <c r="T176" s="9">
        <v>1</v>
      </c>
      <c r="U176" s="9">
        <v>1</v>
      </c>
      <c r="V176" s="9">
        <v>1</v>
      </c>
      <c r="W176" s="9">
        <v>1</v>
      </c>
      <c r="X176" s="1">
        <f t="shared" si="2"/>
        <v>15</v>
      </c>
    </row>
    <row r="177" spans="2:24" ht="13.2" x14ac:dyDescent="0.25">
      <c r="B177" s="109"/>
      <c r="C177" s="9">
        <v>2020</v>
      </c>
      <c r="D177" s="9">
        <v>1</v>
      </c>
      <c r="E177" s="9">
        <v>1</v>
      </c>
      <c r="F177" s="9">
        <v>1</v>
      </c>
      <c r="G177" s="9">
        <v>1</v>
      </c>
      <c r="H177" s="9">
        <v>1</v>
      </c>
      <c r="I177" s="9">
        <v>1</v>
      </c>
      <c r="J177" s="9">
        <v>1</v>
      </c>
      <c r="K177" s="9">
        <v>0</v>
      </c>
      <c r="L177" s="9">
        <v>1</v>
      </c>
      <c r="M177" s="9">
        <v>1</v>
      </c>
      <c r="N177" s="9">
        <v>1</v>
      </c>
      <c r="O177" s="9">
        <v>1</v>
      </c>
      <c r="P177" s="9">
        <v>0</v>
      </c>
      <c r="Q177" s="9">
        <v>1</v>
      </c>
      <c r="R177" s="9">
        <v>1</v>
      </c>
      <c r="S177" s="9">
        <v>1</v>
      </c>
      <c r="T177" s="9">
        <v>1</v>
      </c>
      <c r="U177" s="9">
        <v>0</v>
      </c>
      <c r="V177" s="9">
        <v>1</v>
      </c>
      <c r="W177" s="9">
        <v>0</v>
      </c>
      <c r="X177" s="1">
        <f t="shared" si="2"/>
        <v>16</v>
      </c>
    </row>
    <row r="178" spans="2:24" ht="13.2" x14ac:dyDescent="0.25">
      <c r="B178" s="109"/>
      <c r="C178" s="9">
        <v>2021</v>
      </c>
      <c r="D178" s="9">
        <v>1</v>
      </c>
      <c r="E178" s="9">
        <v>1</v>
      </c>
      <c r="F178" s="9">
        <v>1</v>
      </c>
      <c r="G178" s="9">
        <v>1</v>
      </c>
      <c r="H178" s="9">
        <v>1</v>
      </c>
      <c r="I178" s="9">
        <v>1</v>
      </c>
      <c r="J178" s="9">
        <v>1</v>
      </c>
      <c r="K178" s="9">
        <v>1</v>
      </c>
      <c r="L178" s="9">
        <v>1</v>
      </c>
      <c r="M178" s="9">
        <v>0</v>
      </c>
      <c r="N178" s="9">
        <v>0</v>
      </c>
      <c r="O178" s="9">
        <v>1</v>
      </c>
      <c r="P178" s="9">
        <v>0</v>
      </c>
      <c r="Q178" s="9">
        <v>1</v>
      </c>
      <c r="R178" s="9">
        <v>1</v>
      </c>
      <c r="S178" s="9">
        <v>1</v>
      </c>
      <c r="T178" s="9">
        <v>0</v>
      </c>
      <c r="U178" s="9">
        <v>1</v>
      </c>
      <c r="V178" s="9">
        <v>0</v>
      </c>
      <c r="W178" s="9">
        <v>0</v>
      </c>
      <c r="X178" s="1">
        <f t="shared" si="2"/>
        <v>14</v>
      </c>
    </row>
    <row r="179" spans="2:24" ht="13.2" x14ac:dyDescent="0.25">
      <c r="B179" s="110"/>
      <c r="C179" s="9">
        <v>2022</v>
      </c>
      <c r="D179" s="9">
        <v>1</v>
      </c>
      <c r="E179" s="9">
        <v>1</v>
      </c>
      <c r="F179" s="9">
        <v>1</v>
      </c>
      <c r="G179" s="9">
        <v>1</v>
      </c>
      <c r="H179" s="9">
        <v>1</v>
      </c>
      <c r="I179" s="9">
        <v>1</v>
      </c>
      <c r="J179" s="9">
        <v>1</v>
      </c>
      <c r="K179" s="9">
        <v>1</v>
      </c>
      <c r="L179" s="9">
        <v>0</v>
      </c>
      <c r="M179" s="9">
        <v>1</v>
      </c>
      <c r="N179" s="9">
        <v>1</v>
      </c>
      <c r="O179" s="9">
        <v>1</v>
      </c>
      <c r="P179" s="9">
        <v>1</v>
      </c>
      <c r="Q179" s="9">
        <v>1</v>
      </c>
      <c r="R179" s="9">
        <v>0</v>
      </c>
      <c r="S179" s="9">
        <v>0</v>
      </c>
      <c r="T179" s="9">
        <v>1</v>
      </c>
      <c r="U179" s="9">
        <v>0</v>
      </c>
      <c r="V179" s="9">
        <v>1</v>
      </c>
      <c r="W179" s="9">
        <v>1</v>
      </c>
      <c r="X179" s="1">
        <f t="shared" si="2"/>
        <v>16</v>
      </c>
    </row>
    <row r="180" spans="2:24" ht="13.2" x14ac:dyDescent="0.25">
      <c r="B180" s="108" t="s">
        <v>81</v>
      </c>
      <c r="C180" s="9">
        <v>2018</v>
      </c>
      <c r="D180" s="9">
        <v>1</v>
      </c>
      <c r="E180" s="9">
        <v>1</v>
      </c>
      <c r="F180" s="9">
        <v>1</v>
      </c>
      <c r="G180" s="9">
        <v>1</v>
      </c>
      <c r="H180" s="9">
        <v>1</v>
      </c>
      <c r="I180" s="9">
        <v>1</v>
      </c>
      <c r="J180" s="9">
        <v>0</v>
      </c>
      <c r="K180" s="9">
        <v>1</v>
      </c>
      <c r="L180" s="9">
        <v>1</v>
      </c>
      <c r="M180" s="9">
        <v>0</v>
      </c>
      <c r="N180" s="9">
        <v>1</v>
      </c>
      <c r="O180" s="9">
        <v>1</v>
      </c>
      <c r="P180" s="9">
        <v>1</v>
      </c>
      <c r="Q180" s="9">
        <v>0</v>
      </c>
      <c r="R180" s="9">
        <v>1</v>
      </c>
      <c r="S180" s="9">
        <v>1</v>
      </c>
      <c r="T180" s="9">
        <v>1</v>
      </c>
      <c r="U180" s="9">
        <v>1</v>
      </c>
      <c r="V180" s="9">
        <v>0</v>
      </c>
      <c r="W180" s="9">
        <v>1</v>
      </c>
      <c r="X180" s="1">
        <f t="shared" si="2"/>
        <v>16</v>
      </c>
    </row>
    <row r="181" spans="2:24" ht="13.2" x14ac:dyDescent="0.25">
      <c r="B181" s="109"/>
      <c r="C181" s="9">
        <v>2019</v>
      </c>
      <c r="D181" s="9">
        <v>1</v>
      </c>
      <c r="E181" s="9">
        <v>1</v>
      </c>
      <c r="F181" s="9">
        <v>1</v>
      </c>
      <c r="G181" s="9">
        <v>1</v>
      </c>
      <c r="H181" s="9">
        <v>1</v>
      </c>
      <c r="I181" s="9">
        <v>1</v>
      </c>
      <c r="J181" s="9">
        <v>1</v>
      </c>
      <c r="K181" s="9">
        <v>1</v>
      </c>
      <c r="L181" s="9">
        <v>1</v>
      </c>
      <c r="M181" s="9">
        <v>0</v>
      </c>
      <c r="N181" s="9">
        <v>0</v>
      </c>
      <c r="O181" s="9">
        <v>1</v>
      </c>
      <c r="P181" s="9">
        <v>1</v>
      </c>
      <c r="Q181" s="9">
        <v>0</v>
      </c>
      <c r="R181" s="9">
        <v>1</v>
      </c>
      <c r="S181" s="9">
        <v>1</v>
      </c>
      <c r="T181" s="9">
        <v>1</v>
      </c>
      <c r="U181" s="9">
        <v>0</v>
      </c>
      <c r="V181" s="9">
        <v>0</v>
      </c>
      <c r="W181" s="9">
        <v>0</v>
      </c>
      <c r="X181" s="1">
        <f t="shared" si="2"/>
        <v>14</v>
      </c>
    </row>
    <row r="182" spans="2:24" ht="13.2" x14ac:dyDescent="0.25">
      <c r="B182" s="109"/>
      <c r="C182" s="9">
        <v>2020</v>
      </c>
      <c r="D182" s="9">
        <v>1</v>
      </c>
      <c r="E182" s="9">
        <v>1</v>
      </c>
      <c r="F182" s="9">
        <v>1</v>
      </c>
      <c r="G182" s="9">
        <v>1</v>
      </c>
      <c r="H182" s="9">
        <v>1</v>
      </c>
      <c r="I182" s="9">
        <v>1</v>
      </c>
      <c r="J182" s="9">
        <v>0</v>
      </c>
      <c r="K182" s="9">
        <v>1</v>
      </c>
      <c r="L182" s="9">
        <v>0</v>
      </c>
      <c r="M182" s="9">
        <v>1</v>
      </c>
      <c r="N182" s="9">
        <v>0</v>
      </c>
      <c r="O182" s="9">
        <v>1</v>
      </c>
      <c r="P182" s="9">
        <v>1</v>
      </c>
      <c r="Q182" s="9">
        <v>1</v>
      </c>
      <c r="R182" s="9">
        <v>1</v>
      </c>
      <c r="S182" s="9">
        <v>1</v>
      </c>
      <c r="T182" s="9">
        <v>1</v>
      </c>
      <c r="U182" s="9">
        <v>0</v>
      </c>
      <c r="V182" s="9">
        <v>1</v>
      </c>
      <c r="W182" s="9">
        <v>1</v>
      </c>
      <c r="X182" s="1">
        <f t="shared" si="2"/>
        <v>16</v>
      </c>
    </row>
    <row r="183" spans="2:24" ht="13.2" x14ac:dyDescent="0.25">
      <c r="B183" s="109"/>
      <c r="C183" s="9">
        <v>2021</v>
      </c>
      <c r="D183" s="9">
        <v>1</v>
      </c>
      <c r="E183" s="9">
        <v>1</v>
      </c>
      <c r="F183" s="9">
        <v>1</v>
      </c>
      <c r="G183" s="9">
        <v>1</v>
      </c>
      <c r="H183" s="9">
        <v>1</v>
      </c>
      <c r="I183" s="9">
        <v>1</v>
      </c>
      <c r="J183" s="9">
        <v>0</v>
      </c>
      <c r="K183" s="9">
        <v>1</v>
      </c>
      <c r="L183" s="9">
        <v>0</v>
      </c>
      <c r="M183" s="9">
        <v>1</v>
      </c>
      <c r="N183" s="9">
        <v>0</v>
      </c>
      <c r="O183" s="9">
        <v>1</v>
      </c>
      <c r="P183" s="9">
        <v>1</v>
      </c>
      <c r="Q183" s="9">
        <v>0</v>
      </c>
      <c r="R183" s="9">
        <v>1</v>
      </c>
      <c r="S183" s="9">
        <v>1</v>
      </c>
      <c r="T183" s="9">
        <v>0</v>
      </c>
      <c r="U183" s="9">
        <v>1</v>
      </c>
      <c r="V183" s="9">
        <v>1</v>
      </c>
      <c r="W183" s="9">
        <v>1</v>
      </c>
      <c r="X183" s="1">
        <f t="shared" si="2"/>
        <v>15</v>
      </c>
    </row>
    <row r="184" spans="2:24" ht="13.2" x14ac:dyDescent="0.25">
      <c r="B184" s="110"/>
      <c r="C184" s="9">
        <v>2022</v>
      </c>
      <c r="D184" s="9">
        <v>1</v>
      </c>
      <c r="E184" s="9">
        <v>1</v>
      </c>
      <c r="F184" s="9">
        <v>1</v>
      </c>
      <c r="G184" s="9">
        <v>1</v>
      </c>
      <c r="H184" s="9">
        <v>1</v>
      </c>
      <c r="I184" s="9">
        <v>1</v>
      </c>
      <c r="J184" s="9">
        <v>1</v>
      </c>
      <c r="K184" s="9">
        <v>1</v>
      </c>
      <c r="L184" s="9">
        <v>0</v>
      </c>
      <c r="M184" s="9">
        <v>1</v>
      </c>
      <c r="N184" s="9">
        <v>0</v>
      </c>
      <c r="O184" s="9">
        <v>0</v>
      </c>
      <c r="P184" s="9">
        <v>1</v>
      </c>
      <c r="Q184" s="9">
        <v>0</v>
      </c>
      <c r="R184" s="9">
        <v>1</v>
      </c>
      <c r="S184" s="9">
        <v>0</v>
      </c>
      <c r="T184" s="9">
        <v>1</v>
      </c>
      <c r="U184" s="9">
        <v>0</v>
      </c>
      <c r="V184" s="9">
        <v>1</v>
      </c>
      <c r="W184" s="9">
        <v>0</v>
      </c>
      <c r="X184" s="1">
        <f t="shared" si="2"/>
        <v>13</v>
      </c>
    </row>
    <row r="185" spans="2:24" ht="13.2" x14ac:dyDescent="0.25">
      <c r="B185" s="108" t="s">
        <v>98</v>
      </c>
      <c r="C185" s="9">
        <v>2018</v>
      </c>
      <c r="D185" s="9">
        <v>1</v>
      </c>
      <c r="E185" s="9">
        <v>1</v>
      </c>
      <c r="F185" s="9">
        <v>1</v>
      </c>
      <c r="G185" s="9">
        <v>1</v>
      </c>
      <c r="H185" s="9">
        <v>1</v>
      </c>
      <c r="I185" s="9">
        <v>1</v>
      </c>
      <c r="J185" s="9">
        <v>0</v>
      </c>
      <c r="K185" s="9">
        <v>1</v>
      </c>
      <c r="L185" s="9">
        <v>1</v>
      </c>
      <c r="M185" s="9">
        <v>1</v>
      </c>
      <c r="N185" s="9">
        <v>0</v>
      </c>
      <c r="O185" s="9">
        <v>1</v>
      </c>
      <c r="P185" s="9">
        <v>1</v>
      </c>
      <c r="Q185" s="9">
        <v>0</v>
      </c>
      <c r="R185" s="9">
        <v>0</v>
      </c>
      <c r="S185" s="9">
        <v>0</v>
      </c>
      <c r="T185" s="9">
        <v>1</v>
      </c>
      <c r="U185" s="9">
        <v>0</v>
      </c>
      <c r="V185" s="9">
        <v>1</v>
      </c>
      <c r="W185" s="9">
        <v>1</v>
      </c>
      <c r="X185" s="1">
        <f t="shared" si="2"/>
        <v>14</v>
      </c>
    </row>
    <row r="186" spans="2:24" ht="13.2" x14ac:dyDescent="0.25">
      <c r="B186" s="109"/>
      <c r="C186" s="9">
        <v>2019</v>
      </c>
      <c r="D186" s="9">
        <v>1</v>
      </c>
      <c r="E186" s="9">
        <v>1</v>
      </c>
      <c r="F186" s="9">
        <v>1</v>
      </c>
      <c r="G186" s="9">
        <v>1</v>
      </c>
      <c r="H186" s="9">
        <v>1</v>
      </c>
      <c r="I186" s="9">
        <v>1</v>
      </c>
      <c r="J186" s="9">
        <v>0</v>
      </c>
      <c r="K186" s="9">
        <v>0</v>
      </c>
      <c r="L186" s="9">
        <v>1</v>
      </c>
      <c r="M186" s="9">
        <v>0</v>
      </c>
      <c r="N186" s="9">
        <v>0</v>
      </c>
      <c r="O186" s="9">
        <v>0</v>
      </c>
      <c r="P186" s="9">
        <v>0</v>
      </c>
      <c r="Q186" s="9">
        <v>0</v>
      </c>
      <c r="R186" s="9">
        <v>1</v>
      </c>
      <c r="S186" s="9">
        <v>0</v>
      </c>
      <c r="T186" s="9">
        <v>0</v>
      </c>
      <c r="U186" s="9">
        <v>1</v>
      </c>
      <c r="V186" s="9">
        <v>0</v>
      </c>
      <c r="W186" s="9">
        <v>0</v>
      </c>
      <c r="X186" s="1">
        <f t="shared" si="2"/>
        <v>9</v>
      </c>
    </row>
    <row r="187" spans="2:24" ht="13.2" x14ac:dyDescent="0.25">
      <c r="B187" s="109"/>
      <c r="C187" s="9">
        <v>2020</v>
      </c>
      <c r="D187" s="9">
        <v>1</v>
      </c>
      <c r="E187" s="9">
        <v>1</v>
      </c>
      <c r="F187" s="9">
        <v>1</v>
      </c>
      <c r="G187" s="9">
        <v>1</v>
      </c>
      <c r="H187" s="9">
        <v>1</v>
      </c>
      <c r="I187" s="9">
        <v>1</v>
      </c>
      <c r="J187" s="9">
        <v>1</v>
      </c>
      <c r="K187" s="9">
        <v>1</v>
      </c>
      <c r="L187" s="9">
        <v>1</v>
      </c>
      <c r="M187" s="9">
        <v>1</v>
      </c>
      <c r="N187" s="9">
        <v>1</v>
      </c>
      <c r="O187" s="9">
        <v>1</v>
      </c>
      <c r="P187" s="9">
        <v>1</v>
      </c>
      <c r="Q187" s="9">
        <v>1</v>
      </c>
      <c r="R187" s="9">
        <v>1</v>
      </c>
      <c r="S187" s="9">
        <v>0</v>
      </c>
      <c r="T187" s="9">
        <v>0</v>
      </c>
      <c r="U187" s="9">
        <v>0</v>
      </c>
      <c r="V187" s="9">
        <v>1</v>
      </c>
      <c r="W187" s="9">
        <v>1</v>
      </c>
      <c r="X187" s="1">
        <f t="shared" si="2"/>
        <v>17</v>
      </c>
    </row>
    <row r="188" spans="2:24" ht="13.2" x14ac:dyDescent="0.25">
      <c r="B188" s="109"/>
      <c r="C188" s="9">
        <v>2021</v>
      </c>
      <c r="D188" s="9">
        <v>1</v>
      </c>
      <c r="E188" s="9">
        <v>1</v>
      </c>
      <c r="F188" s="9">
        <v>1</v>
      </c>
      <c r="G188" s="9">
        <v>1</v>
      </c>
      <c r="H188" s="9">
        <v>1</v>
      </c>
      <c r="I188" s="9">
        <v>1</v>
      </c>
      <c r="J188" s="9">
        <v>0</v>
      </c>
      <c r="K188" s="9">
        <v>1</v>
      </c>
      <c r="L188" s="9">
        <v>0</v>
      </c>
      <c r="M188" s="9">
        <v>0</v>
      </c>
      <c r="N188" s="9">
        <v>1</v>
      </c>
      <c r="O188" s="9">
        <v>1</v>
      </c>
      <c r="P188" s="9">
        <v>0</v>
      </c>
      <c r="Q188" s="9">
        <v>0</v>
      </c>
      <c r="R188" s="9">
        <v>1</v>
      </c>
      <c r="S188" s="9">
        <v>0</v>
      </c>
      <c r="T188" s="9">
        <v>0</v>
      </c>
      <c r="U188" s="9">
        <v>0</v>
      </c>
      <c r="V188" s="9">
        <v>0</v>
      </c>
      <c r="W188" s="9">
        <v>1</v>
      </c>
      <c r="X188" s="1">
        <f t="shared" si="2"/>
        <v>11</v>
      </c>
    </row>
    <row r="189" spans="2:24" ht="13.2" x14ac:dyDescent="0.25">
      <c r="B189" s="110"/>
      <c r="C189" s="9">
        <v>2022</v>
      </c>
      <c r="D189" s="9">
        <v>1</v>
      </c>
      <c r="E189" s="9">
        <v>1</v>
      </c>
      <c r="F189" s="9">
        <v>1</v>
      </c>
      <c r="G189" s="9">
        <v>1</v>
      </c>
      <c r="H189" s="9">
        <v>1</v>
      </c>
      <c r="I189" s="9">
        <v>1</v>
      </c>
      <c r="J189" s="9">
        <v>1</v>
      </c>
      <c r="K189" s="9">
        <v>1</v>
      </c>
      <c r="L189" s="9">
        <v>0</v>
      </c>
      <c r="M189" s="9">
        <v>0</v>
      </c>
      <c r="N189" s="9">
        <v>1</v>
      </c>
      <c r="O189" s="9">
        <v>1</v>
      </c>
      <c r="P189" s="9">
        <v>1</v>
      </c>
      <c r="Q189" s="9">
        <v>1</v>
      </c>
      <c r="R189" s="9">
        <v>0</v>
      </c>
      <c r="S189" s="9">
        <v>0</v>
      </c>
      <c r="T189" s="9">
        <v>0</v>
      </c>
      <c r="U189" s="9">
        <v>0</v>
      </c>
      <c r="V189" s="9">
        <v>0</v>
      </c>
      <c r="W189" s="9">
        <v>1</v>
      </c>
      <c r="X189" s="1">
        <f t="shared" si="2"/>
        <v>13</v>
      </c>
    </row>
    <row r="190" spans="2:24" ht="13.2" x14ac:dyDescent="0.25">
      <c r="B190" s="108" t="s">
        <v>114</v>
      </c>
      <c r="C190" s="9">
        <v>2018</v>
      </c>
      <c r="D190" s="9">
        <v>1</v>
      </c>
      <c r="E190" s="9">
        <v>1</v>
      </c>
      <c r="F190" s="9">
        <v>1</v>
      </c>
      <c r="G190" s="9">
        <v>1</v>
      </c>
      <c r="H190" s="9">
        <v>1</v>
      </c>
      <c r="I190" s="9">
        <v>1</v>
      </c>
      <c r="J190" s="9">
        <v>0</v>
      </c>
      <c r="K190" s="9">
        <v>0</v>
      </c>
      <c r="L190" s="9">
        <v>0</v>
      </c>
      <c r="M190" s="9">
        <v>1</v>
      </c>
      <c r="N190" s="9">
        <v>0</v>
      </c>
      <c r="O190" s="9">
        <v>1</v>
      </c>
      <c r="P190" s="9">
        <v>1</v>
      </c>
      <c r="Q190" s="9">
        <v>1</v>
      </c>
      <c r="R190" s="9">
        <v>1</v>
      </c>
      <c r="S190" s="9">
        <v>1</v>
      </c>
      <c r="T190" s="9">
        <v>1</v>
      </c>
      <c r="U190" s="9">
        <v>1</v>
      </c>
      <c r="V190" s="9">
        <v>0</v>
      </c>
      <c r="W190" s="9">
        <v>1</v>
      </c>
      <c r="X190" s="1">
        <f t="shared" si="2"/>
        <v>15</v>
      </c>
    </row>
    <row r="191" spans="2:24" ht="13.2" x14ac:dyDescent="0.25">
      <c r="B191" s="109"/>
      <c r="C191" s="9">
        <v>2019</v>
      </c>
      <c r="D191" s="9">
        <v>1</v>
      </c>
      <c r="E191" s="9">
        <v>1</v>
      </c>
      <c r="F191" s="9">
        <v>1</v>
      </c>
      <c r="G191" s="9">
        <v>1</v>
      </c>
      <c r="H191" s="9">
        <v>1</v>
      </c>
      <c r="I191" s="9">
        <v>1</v>
      </c>
      <c r="J191" s="9">
        <v>1</v>
      </c>
      <c r="K191" s="9">
        <v>0</v>
      </c>
      <c r="L191" s="9">
        <v>1</v>
      </c>
      <c r="M191" s="9">
        <v>0</v>
      </c>
      <c r="N191" s="9">
        <v>0</v>
      </c>
      <c r="O191" s="9">
        <v>0</v>
      </c>
      <c r="P191" s="9">
        <v>1</v>
      </c>
      <c r="Q191" s="9">
        <v>1</v>
      </c>
      <c r="R191" s="9">
        <v>1</v>
      </c>
      <c r="S191" s="9">
        <v>1</v>
      </c>
      <c r="T191" s="9">
        <v>1</v>
      </c>
      <c r="U191" s="9">
        <v>1</v>
      </c>
      <c r="V191" s="9">
        <v>1</v>
      </c>
      <c r="W191" s="9">
        <v>1</v>
      </c>
      <c r="X191" s="1">
        <f t="shared" si="2"/>
        <v>16</v>
      </c>
    </row>
    <row r="192" spans="2:24" ht="13.2" x14ac:dyDescent="0.25">
      <c r="B192" s="109"/>
      <c r="C192" s="9">
        <v>2020</v>
      </c>
      <c r="D192" s="9">
        <v>1</v>
      </c>
      <c r="E192" s="9">
        <v>1</v>
      </c>
      <c r="F192" s="9">
        <v>1</v>
      </c>
      <c r="G192" s="9">
        <v>1</v>
      </c>
      <c r="H192" s="9">
        <v>1</v>
      </c>
      <c r="I192" s="9">
        <v>1</v>
      </c>
      <c r="J192" s="9">
        <v>1</v>
      </c>
      <c r="K192" s="9">
        <v>0</v>
      </c>
      <c r="L192" s="9">
        <v>1</v>
      </c>
      <c r="M192" s="9">
        <v>1</v>
      </c>
      <c r="N192" s="9">
        <v>1</v>
      </c>
      <c r="O192" s="9">
        <v>1</v>
      </c>
      <c r="P192" s="9">
        <v>1</v>
      </c>
      <c r="Q192" s="9">
        <v>1</v>
      </c>
      <c r="R192" s="9">
        <v>0</v>
      </c>
      <c r="S192" s="9">
        <v>0</v>
      </c>
      <c r="T192" s="9">
        <v>0</v>
      </c>
      <c r="U192" s="9">
        <v>1</v>
      </c>
      <c r="V192" s="9">
        <v>0</v>
      </c>
      <c r="W192" s="9">
        <v>1</v>
      </c>
      <c r="X192" s="1">
        <f t="shared" si="2"/>
        <v>15</v>
      </c>
    </row>
    <row r="193" spans="2:24" ht="13.2" x14ac:dyDescent="0.25">
      <c r="B193" s="109"/>
      <c r="C193" s="9">
        <v>2021</v>
      </c>
      <c r="D193" s="9">
        <v>1</v>
      </c>
      <c r="E193" s="9">
        <v>1</v>
      </c>
      <c r="F193" s="9">
        <v>1</v>
      </c>
      <c r="G193" s="9">
        <v>1</v>
      </c>
      <c r="H193" s="9">
        <v>1</v>
      </c>
      <c r="I193" s="9">
        <v>1</v>
      </c>
      <c r="J193" s="9">
        <v>1</v>
      </c>
      <c r="K193" s="9">
        <v>1</v>
      </c>
      <c r="L193" s="9">
        <v>1</v>
      </c>
      <c r="M193" s="9">
        <v>1</v>
      </c>
      <c r="N193" s="9">
        <v>1</v>
      </c>
      <c r="O193" s="9">
        <v>0</v>
      </c>
      <c r="P193" s="9">
        <v>1</v>
      </c>
      <c r="Q193" s="9">
        <v>1</v>
      </c>
      <c r="R193" s="9">
        <v>1</v>
      </c>
      <c r="S193" s="9">
        <v>0</v>
      </c>
      <c r="T193" s="9">
        <v>1</v>
      </c>
      <c r="U193" s="9">
        <v>1</v>
      </c>
      <c r="V193" s="9">
        <v>0</v>
      </c>
      <c r="W193" s="9">
        <v>0</v>
      </c>
      <c r="X193" s="1">
        <f t="shared" si="2"/>
        <v>16</v>
      </c>
    </row>
    <row r="194" spans="2:24" ht="13.2" x14ac:dyDescent="0.25">
      <c r="B194" s="110"/>
      <c r="C194" s="9">
        <v>2022</v>
      </c>
      <c r="D194" s="9">
        <v>1</v>
      </c>
      <c r="E194" s="9">
        <v>1</v>
      </c>
      <c r="F194" s="9">
        <v>1</v>
      </c>
      <c r="G194" s="9">
        <v>1</v>
      </c>
      <c r="H194" s="9">
        <v>1</v>
      </c>
      <c r="I194" s="9">
        <v>1</v>
      </c>
      <c r="J194" s="9">
        <v>0</v>
      </c>
      <c r="K194" s="9">
        <v>0</v>
      </c>
      <c r="L194" s="9">
        <v>1</v>
      </c>
      <c r="M194" s="9">
        <v>0</v>
      </c>
      <c r="N194" s="9">
        <v>0</v>
      </c>
      <c r="O194" s="9">
        <v>0</v>
      </c>
      <c r="P194" s="9">
        <v>1</v>
      </c>
      <c r="Q194" s="9">
        <v>0</v>
      </c>
      <c r="R194" s="9">
        <v>1</v>
      </c>
      <c r="S194" s="9">
        <v>1</v>
      </c>
      <c r="T194" s="9">
        <v>1</v>
      </c>
      <c r="U194" s="9">
        <v>0</v>
      </c>
      <c r="V194" s="9">
        <v>0</v>
      </c>
      <c r="W194" s="9">
        <v>0</v>
      </c>
      <c r="X194" s="1">
        <f t="shared" si="2"/>
        <v>11</v>
      </c>
    </row>
    <row r="195" spans="2:24" ht="13.2" x14ac:dyDescent="0.25">
      <c r="B195" s="108" t="s">
        <v>129</v>
      </c>
      <c r="C195" s="9">
        <v>2018</v>
      </c>
      <c r="D195" s="9">
        <v>1</v>
      </c>
      <c r="E195" s="9">
        <v>1</v>
      </c>
      <c r="F195" s="9">
        <v>1</v>
      </c>
      <c r="G195" s="9">
        <v>1</v>
      </c>
      <c r="H195" s="9">
        <v>1</v>
      </c>
      <c r="I195" s="9">
        <v>1</v>
      </c>
      <c r="J195" s="9">
        <v>0</v>
      </c>
      <c r="K195" s="9">
        <v>0</v>
      </c>
      <c r="L195" s="9">
        <v>1</v>
      </c>
      <c r="M195" s="9">
        <v>0</v>
      </c>
      <c r="N195" s="9">
        <v>0</v>
      </c>
      <c r="O195" s="9">
        <v>1</v>
      </c>
      <c r="P195" s="9">
        <v>0</v>
      </c>
      <c r="Q195" s="9">
        <v>0</v>
      </c>
      <c r="R195" s="9">
        <v>1</v>
      </c>
      <c r="S195" s="9">
        <v>1</v>
      </c>
      <c r="T195" s="9">
        <v>0</v>
      </c>
      <c r="U195" s="9">
        <v>0</v>
      </c>
      <c r="V195" s="9">
        <v>1</v>
      </c>
      <c r="W195" s="9">
        <v>1</v>
      </c>
      <c r="X195" s="1">
        <f t="shared" si="2"/>
        <v>12</v>
      </c>
    </row>
    <row r="196" spans="2:24" ht="13.2" x14ac:dyDescent="0.25">
      <c r="B196" s="109"/>
      <c r="C196" s="9">
        <v>2019</v>
      </c>
      <c r="D196" s="9">
        <v>1</v>
      </c>
      <c r="E196" s="9">
        <v>1</v>
      </c>
      <c r="F196" s="9">
        <v>1</v>
      </c>
      <c r="G196" s="9">
        <v>1</v>
      </c>
      <c r="H196" s="9">
        <v>1</v>
      </c>
      <c r="I196" s="9">
        <v>1</v>
      </c>
      <c r="J196" s="9">
        <v>0</v>
      </c>
      <c r="K196" s="9">
        <v>1</v>
      </c>
      <c r="L196" s="9">
        <v>1</v>
      </c>
      <c r="M196" s="9">
        <v>1</v>
      </c>
      <c r="N196" s="9">
        <v>1</v>
      </c>
      <c r="O196" s="9">
        <v>0</v>
      </c>
      <c r="P196" s="9">
        <v>0</v>
      </c>
      <c r="Q196" s="9">
        <v>1</v>
      </c>
      <c r="R196" s="9">
        <v>0</v>
      </c>
      <c r="S196" s="9">
        <v>0</v>
      </c>
      <c r="T196" s="9">
        <v>0</v>
      </c>
      <c r="U196" s="9">
        <v>1</v>
      </c>
      <c r="V196" s="9">
        <v>1</v>
      </c>
      <c r="W196" s="9">
        <v>0</v>
      </c>
      <c r="X196" s="1">
        <f t="shared" si="2"/>
        <v>13</v>
      </c>
    </row>
    <row r="197" spans="2:24" ht="13.2" x14ac:dyDescent="0.25">
      <c r="B197" s="109"/>
      <c r="C197" s="9">
        <v>2020</v>
      </c>
      <c r="D197" s="9">
        <v>1</v>
      </c>
      <c r="E197" s="9">
        <v>1</v>
      </c>
      <c r="F197" s="9">
        <v>1</v>
      </c>
      <c r="G197" s="9">
        <v>1</v>
      </c>
      <c r="H197" s="9">
        <v>1</v>
      </c>
      <c r="I197" s="9">
        <v>1</v>
      </c>
      <c r="J197" s="9">
        <v>0</v>
      </c>
      <c r="K197" s="9">
        <v>1</v>
      </c>
      <c r="L197" s="9">
        <v>1</v>
      </c>
      <c r="M197" s="9">
        <v>1</v>
      </c>
      <c r="N197" s="9">
        <v>1</v>
      </c>
      <c r="O197" s="9">
        <v>0</v>
      </c>
      <c r="P197" s="9">
        <v>0</v>
      </c>
      <c r="Q197" s="9">
        <v>1</v>
      </c>
      <c r="R197" s="9">
        <v>1</v>
      </c>
      <c r="S197" s="9">
        <v>1</v>
      </c>
      <c r="T197" s="9">
        <v>0</v>
      </c>
      <c r="U197" s="9">
        <v>1</v>
      </c>
      <c r="V197" s="9">
        <v>0</v>
      </c>
      <c r="W197" s="9">
        <v>0</v>
      </c>
      <c r="X197" s="1">
        <f t="shared" si="2"/>
        <v>14</v>
      </c>
    </row>
    <row r="198" spans="2:24" ht="13.2" x14ac:dyDescent="0.25">
      <c r="B198" s="109"/>
      <c r="C198" s="9">
        <v>2021</v>
      </c>
      <c r="D198" s="9">
        <v>1</v>
      </c>
      <c r="E198" s="9">
        <v>1</v>
      </c>
      <c r="F198" s="9">
        <v>1</v>
      </c>
      <c r="G198" s="9">
        <v>1</v>
      </c>
      <c r="H198" s="9">
        <v>1</v>
      </c>
      <c r="I198" s="9">
        <v>1</v>
      </c>
      <c r="J198" s="9">
        <v>0</v>
      </c>
      <c r="K198" s="9">
        <v>0</v>
      </c>
      <c r="L198" s="9">
        <v>0</v>
      </c>
      <c r="M198" s="9">
        <v>0</v>
      </c>
      <c r="N198" s="9">
        <v>1</v>
      </c>
      <c r="O198" s="9">
        <v>0</v>
      </c>
      <c r="P198" s="9">
        <v>1</v>
      </c>
      <c r="Q198" s="9">
        <v>0</v>
      </c>
      <c r="R198" s="9">
        <v>1</v>
      </c>
      <c r="S198" s="9">
        <v>0</v>
      </c>
      <c r="T198" s="9">
        <v>0</v>
      </c>
      <c r="U198" s="9">
        <v>1</v>
      </c>
      <c r="V198" s="9">
        <v>0</v>
      </c>
      <c r="W198" s="9">
        <v>0</v>
      </c>
      <c r="X198" s="1">
        <f t="shared" si="2"/>
        <v>10</v>
      </c>
    </row>
    <row r="199" spans="2:24" ht="13.2" x14ac:dyDescent="0.25">
      <c r="B199" s="110"/>
      <c r="C199" s="9">
        <v>2022</v>
      </c>
      <c r="D199" s="9">
        <v>1</v>
      </c>
      <c r="E199" s="9">
        <v>1</v>
      </c>
      <c r="F199" s="9">
        <v>1</v>
      </c>
      <c r="G199" s="9">
        <v>1</v>
      </c>
      <c r="H199" s="9">
        <v>1</v>
      </c>
      <c r="I199" s="9">
        <v>1</v>
      </c>
      <c r="J199" s="9">
        <v>0</v>
      </c>
      <c r="K199" s="9">
        <v>0</v>
      </c>
      <c r="L199" s="9">
        <v>1</v>
      </c>
      <c r="M199" s="9">
        <v>1</v>
      </c>
      <c r="N199" s="9">
        <v>1</v>
      </c>
      <c r="O199" s="9">
        <v>0</v>
      </c>
      <c r="P199" s="9">
        <v>0</v>
      </c>
      <c r="Q199" s="9">
        <v>0</v>
      </c>
      <c r="R199" s="9">
        <v>0</v>
      </c>
      <c r="S199" s="9">
        <v>1</v>
      </c>
      <c r="T199" s="9">
        <v>0</v>
      </c>
      <c r="U199" s="9">
        <v>1</v>
      </c>
      <c r="V199" s="9">
        <v>1</v>
      </c>
      <c r="W199" s="9">
        <v>0</v>
      </c>
      <c r="X199" s="1">
        <f t="shared" si="2"/>
        <v>12</v>
      </c>
    </row>
    <row r="200" spans="2:24" ht="13.2" x14ac:dyDescent="0.25">
      <c r="B200" s="108" t="s">
        <v>140</v>
      </c>
      <c r="C200" s="9">
        <v>2018</v>
      </c>
      <c r="D200" s="9">
        <v>1</v>
      </c>
      <c r="E200" s="9">
        <v>1</v>
      </c>
      <c r="F200" s="9">
        <v>1</v>
      </c>
      <c r="G200" s="9">
        <v>1</v>
      </c>
      <c r="H200" s="9">
        <v>1</v>
      </c>
      <c r="I200" s="9">
        <v>1</v>
      </c>
      <c r="J200" s="9">
        <v>1</v>
      </c>
      <c r="K200" s="9">
        <v>1</v>
      </c>
      <c r="L200" s="9">
        <v>0</v>
      </c>
      <c r="M200" s="9">
        <v>0</v>
      </c>
      <c r="N200" s="9">
        <v>0</v>
      </c>
      <c r="O200" s="9">
        <v>1</v>
      </c>
      <c r="P200" s="9">
        <v>1</v>
      </c>
      <c r="Q200" s="9">
        <v>0</v>
      </c>
      <c r="R200" s="9">
        <v>1</v>
      </c>
      <c r="S200" s="9">
        <v>0</v>
      </c>
      <c r="T200" s="9">
        <v>1</v>
      </c>
      <c r="U200" s="9">
        <v>0</v>
      </c>
      <c r="V200" s="9">
        <v>1</v>
      </c>
      <c r="W200" s="9">
        <v>0</v>
      </c>
      <c r="X200" s="1">
        <f t="shared" si="2"/>
        <v>13</v>
      </c>
    </row>
    <row r="201" spans="2:24" ht="13.2" x14ac:dyDescent="0.25">
      <c r="B201" s="109"/>
      <c r="C201" s="9">
        <v>2019</v>
      </c>
      <c r="D201" s="9">
        <v>1</v>
      </c>
      <c r="E201" s="9">
        <v>1</v>
      </c>
      <c r="F201" s="9">
        <v>1</v>
      </c>
      <c r="G201" s="9">
        <v>1</v>
      </c>
      <c r="H201" s="9">
        <v>1</v>
      </c>
      <c r="I201" s="9">
        <v>1</v>
      </c>
      <c r="J201" s="9">
        <v>0</v>
      </c>
      <c r="K201" s="9">
        <v>1</v>
      </c>
      <c r="L201" s="9">
        <v>1</v>
      </c>
      <c r="M201" s="9">
        <v>0</v>
      </c>
      <c r="N201" s="9">
        <v>1</v>
      </c>
      <c r="O201" s="9">
        <v>0</v>
      </c>
      <c r="P201" s="9">
        <v>1</v>
      </c>
      <c r="Q201" s="9">
        <v>0</v>
      </c>
      <c r="R201" s="9">
        <v>1</v>
      </c>
      <c r="S201" s="9">
        <v>0</v>
      </c>
      <c r="T201" s="9">
        <v>1</v>
      </c>
      <c r="U201" s="9">
        <v>0</v>
      </c>
      <c r="V201" s="9">
        <v>0</v>
      </c>
      <c r="W201" s="9">
        <v>0</v>
      </c>
      <c r="X201" s="1">
        <f t="shared" si="2"/>
        <v>12</v>
      </c>
    </row>
    <row r="202" spans="2:24" ht="13.2" x14ac:dyDescent="0.25">
      <c r="B202" s="109"/>
      <c r="C202" s="9">
        <v>2020</v>
      </c>
      <c r="D202" s="9">
        <v>1</v>
      </c>
      <c r="E202" s="9">
        <v>1</v>
      </c>
      <c r="F202" s="9">
        <v>1</v>
      </c>
      <c r="G202" s="9">
        <v>1</v>
      </c>
      <c r="H202" s="9">
        <v>1</v>
      </c>
      <c r="I202" s="9">
        <v>1</v>
      </c>
      <c r="J202" s="9">
        <v>0</v>
      </c>
      <c r="K202" s="9">
        <v>0</v>
      </c>
      <c r="L202" s="9">
        <v>0</v>
      </c>
      <c r="M202" s="9">
        <v>1</v>
      </c>
      <c r="N202" s="9">
        <v>1</v>
      </c>
      <c r="O202" s="9">
        <v>0</v>
      </c>
      <c r="P202" s="9">
        <v>0</v>
      </c>
      <c r="Q202" s="9">
        <v>0</v>
      </c>
      <c r="R202" s="9">
        <v>0</v>
      </c>
      <c r="S202" s="9">
        <v>1</v>
      </c>
      <c r="T202" s="9">
        <v>0</v>
      </c>
      <c r="U202" s="9">
        <v>1</v>
      </c>
      <c r="V202" s="9">
        <v>0</v>
      </c>
      <c r="W202" s="9">
        <v>0</v>
      </c>
      <c r="X202" s="1">
        <f t="shared" si="2"/>
        <v>10</v>
      </c>
    </row>
    <row r="203" spans="2:24" ht="13.2" x14ac:dyDescent="0.25">
      <c r="B203" s="109"/>
      <c r="C203" s="9">
        <v>2021</v>
      </c>
      <c r="D203" s="9">
        <v>1</v>
      </c>
      <c r="E203" s="9">
        <v>1</v>
      </c>
      <c r="F203" s="9">
        <v>1</v>
      </c>
      <c r="G203" s="9">
        <v>1</v>
      </c>
      <c r="H203" s="9">
        <v>1</v>
      </c>
      <c r="I203" s="9">
        <v>1</v>
      </c>
      <c r="J203" s="9">
        <v>0</v>
      </c>
      <c r="K203" s="9">
        <v>0</v>
      </c>
      <c r="L203" s="9">
        <v>1</v>
      </c>
      <c r="M203" s="9">
        <v>0</v>
      </c>
      <c r="N203" s="9">
        <v>0</v>
      </c>
      <c r="O203" s="9">
        <v>0</v>
      </c>
      <c r="P203" s="9">
        <v>1</v>
      </c>
      <c r="Q203" s="9">
        <v>0</v>
      </c>
      <c r="R203" s="9">
        <v>1</v>
      </c>
      <c r="S203" s="9">
        <v>1</v>
      </c>
      <c r="T203" s="9">
        <v>0</v>
      </c>
      <c r="U203" s="9">
        <v>0</v>
      </c>
      <c r="V203" s="9">
        <v>1</v>
      </c>
      <c r="W203" s="9">
        <v>1</v>
      </c>
      <c r="X203" s="1">
        <f t="shared" si="2"/>
        <v>12</v>
      </c>
    </row>
    <row r="204" spans="2:24" ht="13.2" x14ac:dyDescent="0.25">
      <c r="B204" s="110"/>
      <c r="C204" s="9">
        <v>2022</v>
      </c>
      <c r="D204" s="9">
        <v>1</v>
      </c>
      <c r="E204" s="9">
        <v>1</v>
      </c>
      <c r="F204" s="9">
        <v>1</v>
      </c>
      <c r="G204" s="9">
        <v>1</v>
      </c>
      <c r="H204" s="9">
        <v>1</v>
      </c>
      <c r="I204" s="9">
        <v>1</v>
      </c>
      <c r="J204" s="9">
        <v>0</v>
      </c>
      <c r="K204" s="9">
        <v>1</v>
      </c>
      <c r="L204" s="9">
        <v>1</v>
      </c>
      <c r="M204" s="9">
        <v>1</v>
      </c>
      <c r="N204" s="9">
        <v>0</v>
      </c>
      <c r="O204" s="9">
        <v>1</v>
      </c>
      <c r="P204" s="9">
        <v>0</v>
      </c>
      <c r="Q204" s="9">
        <v>1</v>
      </c>
      <c r="R204" s="9">
        <v>0</v>
      </c>
      <c r="S204" s="9">
        <v>0</v>
      </c>
      <c r="T204" s="9">
        <v>0</v>
      </c>
      <c r="U204" s="9">
        <v>1</v>
      </c>
      <c r="V204" s="9">
        <v>1</v>
      </c>
      <c r="W204" s="9">
        <v>1</v>
      </c>
      <c r="X204" s="1">
        <f t="shared" si="2"/>
        <v>14</v>
      </c>
    </row>
    <row r="205" spans="2:24" ht="13.2" x14ac:dyDescent="0.25">
      <c r="B205" s="108" t="s">
        <v>150</v>
      </c>
      <c r="C205" s="9">
        <v>2018</v>
      </c>
      <c r="D205" s="9">
        <v>1</v>
      </c>
      <c r="E205" s="9">
        <v>1</v>
      </c>
      <c r="F205" s="9">
        <v>1</v>
      </c>
      <c r="G205" s="9">
        <v>1</v>
      </c>
      <c r="H205" s="9">
        <v>1</v>
      </c>
      <c r="I205" s="9">
        <v>1</v>
      </c>
      <c r="J205" s="9">
        <v>1</v>
      </c>
      <c r="K205" s="9">
        <v>0</v>
      </c>
      <c r="L205" s="9">
        <v>0</v>
      </c>
      <c r="M205" s="9">
        <v>0</v>
      </c>
      <c r="N205" s="9">
        <v>1</v>
      </c>
      <c r="O205" s="9">
        <v>0</v>
      </c>
      <c r="P205" s="9">
        <v>1</v>
      </c>
      <c r="Q205" s="9">
        <v>1</v>
      </c>
      <c r="R205" s="9">
        <v>0</v>
      </c>
      <c r="S205" s="9">
        <v>0</v>
      </c>
      <c r="T205" s="9">
        <v>0</v>
      </c>
      <c r="U205" s="9">
        <v>1</v>
      </c>
      <c r="V205" s="9">
        <v>1</v>
      </c>
      <c r="W205" s="9">
        <v>1</v>
      </c>
      <c r="X205" s="1">
        <f t="shared" si="2"/>
        <v>13</v>
      </c>
    </row>
    <row r="206" spans="2:24" ht="13.2" x14ac:dyDescent="0.25">
      <c r="B206" s="109"/>
      <c r="C206" s="9">
        <v>2019</v>
      </c>
      <c r="D206" s="9">
        <v>1</v>
      </c>
      <c r="E206" s="9">
        <v>1</v>
      </c>
      <c r="F206" s="9">
        <v>1</v>
      </c>
      <c r="G206" s="9">
        <v>1</v>
      </c>
      <c r="H206" s="9">
        <v>1</v>
      </c>
      <c r="I206" s="9">
        <v>1</v>
      </c>
      <c r="J206" s="9">
        <v>1</v>
      </c>
      <c r="K206" s="9">
        <v>0</v>
      </c>
      <c r="L206" s="9">
        <v>1</v>
      </c>
      <c r="M206" s="9">
        <v>1</v>
      </c>
      <c r="N206" s="9">
        <v>1</v>
      </c>
      <c r="O206" s="9">
        <v>0</v>
      </c>
      <c r="P206" s="9">
        <v>1</v>
      </c>
      <c r="Q206" s="9">
        <v>1</v>
      </c>
      <c r="R206" s="9">
        <v>0</v>
      </c>
      <c r="S206" s="9">
        <v>1</v>
      </c>
      <c r="T206" s="9">
        <v>0</v>
      </c>
      <c r="U206" s="9">
        <v>1</v>
      </c>
      <c r="V206" s="9">
        <v>1</v>
      </c>
      <c r="W206" s="9">
        <v>0</v>
      </c>
      <c r="X206" s="1">
        <f t="shared" si="2"/>
        <v>15</v>
      </c>
    </row>
    <row r="207" spans="2:24" ht="13.2" x14ac:dyDescent="0.25">
      <c r="B207" s="109"/>
      <c r="C207" s="9">
        <v>2020</v>
      </c>
      <c r="D207" s="9">
        <v>1</v>
      </c>
      <c r="E207" s="9">
        <v>1</v>
      </c>
      <c r="F207" s="9">
        <v>1</v>
      </c>
      <c r="G207" s="9">
        <v>1</v>
      </c>
      <c r="H207" s="9">
        <v>1</v>
      </c>
      <c r="I207" s="9">
        <v>1</v>
      </c>
      <c r="J207" s="9">
        <v>1</v>
      </c>
      <c r="K207" s="9">
        <v>1</v>
      </c>
      <c r="L207" s="9">
        <v>0</v>
      </c>
      <c r="M207" s="9">
        <v>0</v>
      </c>
      <c r="N207" s="9">
        <v>0</v>
      </c>
      <c r="O207" s="9">
        <v>0</v>
      </c>
      <c r="P207" s="9">
        <v>0</v>
      </c>
      <c r="Q207" s="9">
        <v>0</v>
      </c>
      <c r="R207" s="9">
        <v>1</v>
      </c>
      <c r="S207" s="9">
        <v>0</v>
      </c>
      <c r="T207" s="9">
        <v>1</v>
      </c>
      <c r="U207" s="9">
        <v>1</v>
      </c>
      <c r="V207" s="9">
        <v>0</v>
      </c>
      <c r="W207" s="9">
        <v>0</v>
      </c>
      <c r="X207" s="1">
        <f t="shared" si="2"/>
        <v>11</v>
      </c>
    </row>
    <row r="208" spans="2:24" ht="13.2" x14ac:dyDescent="0.25">
      <c r="B208" s="109"/>
      <c r="C208" s="9">
        <v>2021</v>
      </c>
      <c r="D208" s="9">
        <v>1</v>
      </c>
      <c r="E208" s="9">
        <v>1</v>
      </c>
      <c r="F208" s="9">
        <v>1</v>
      </c>
      <c r="G208" s="9">
        <v>1</v>
      </c>
      <c r="H208" s="9">
        <v>1</v>
      </c>
      <c r="I208" s="9">
        <v>1</v>
      </c>
      <c r="J208" s="9">
        <v>1</v>
      </c>
      <c r="K208" s="9">
        <v>1</v>
      </c>
      <c r="L208" s="9">
        <v>0</v>
      </c>
      <c r="M208" s="9">
        <v>1</v>
      </c>
      <c r="N208" s="9">
        <v>1</v>
      </c>
      <c r="O208" s="9">
        <v>1</v>
      </c>
      <c r="P208" s="9">
        <v>1</v>
      </c>
      <c r="Q208" s="9">
        <v>1</v>
      </c>
      <c r="R208" s="9">
        <v>0</v>
      </c>
      <c r="S208" s="9">
        <v>1</v>
      </c>
      <c r="T208" s="9">
        <v>0</v>
      </c>
      <c r="U208" s="9">
        <v>1</v>
      </c>
      <c r="V208" s="9">
        <v>0</v>
      </c>
      <c r="W208" s="9">
        <v>0</v>
      </c>
      <c r="X208" s="1">
        <f t="shared" si="2"/>
        <v>15</v>
      </c>
    </row>
    <row r="209" spans="2:24" ht="13.2" x14ac:dyDescent="0.25">
      <c r="B209" s="110"/>
      <c r="C209" s="9">
        <v>2022</v>
      </c>
      <c r="D209" s="9">
        <v>1</v>
      </c>
      <c r="E209" s="9">
        <v>1</v>
      </c>
      <c r="F209" s="9">
        <v>1</v>
      </c>
      <c r="G209" s="9">
        <v>1</v>
      </c>
      <c r="H209" s="9">
        <v>1</v>
      </c>
      <c r="I209" s="9">
        <v>1</v>
      </c>
      <c r="J209" s="9">
        <v>0</v>
      </c>
      <c r="K209" s="9">
        <v>1</v>
      </c>
      <c r="L209" s="9">
        <v>0</v>
      </c>
      <c r="M209" s="9">
        <v>1</v>
      </c>
      <c r="N209" s="9">
        <v>1</v>
      </c>
      <c r="O209" s="9">
        <v>0</v>
      </c>
      <c r="P209" s="9">
        <v>0</v>
      </c>
      <c r="Q209" s="9">
        <v>1</v>
      </c>
      <c r="R209" s="9">
        <v>0</v>
      </c>
      <c r="S209" s="9">
        <v>1</v>
      </c>
      <c r="T209" s="9">
        <v>0</v>
      </c>
      <c r="U209" s="9">
        <v>1</v>
      </c>
      <c r="V209" s="9">
        <v>1</v>
      </c>
      <c r="W209" s="9">
        <v>0</v>
      </c>
      <c r="X209" s="1">
        <f t="shared" si="2"/>
        <v>13</v>
      </c>
    </row>
    <row r="210" spans="2:24" ht="13.2" x14ac:dyDescent="0.25">
      <c r="B210" s="108" t="s">
        <v>156</v>
      </c>
      <c r="C210" s="9">
        <v>2018</v>
      </c>
      <c r="D210" s="9">
        <v>1</v>
      </c>
      <c r="E210" s="9">
        <v>1</v>
      </c>
      <c r="F210" s="9">
        <v>1</v>
      </c>
      <c r="G210" s="9">
        <v>1</v>
      </c>
      <c r="H210" s="9">
        <v>1</v>
      </c>
      <c r="I210" s="9">
        <v>1</v>
      </c>
      <c r="J210" s="9">
        <v>0</v>
      </c>
      <c r="K210" s="9">
        <v>1</v>
      </c>
      <c r="L210" s="9">
        <v>1</v>
      </c>
      <c r="M210" s="9">
        <v>0</v>
      </c>
      <c r="N210" s="9">
        <v>1</v>
      </c>
      <c r="O210" s="9">
        <v>1</v>
      </c>
      <c r="P210" s="9">
        <v>0</v>
      </c>
      <c r="Q210" s="9">
        <v>0</v>
      </c>
      <c r="R210" s="9">
        <v>1</v>
      </c>
      <c r="S210" s="9">
        <v>0</v>
      </c>
      <c r="T210" s="9">
        <v>0</v>
      </c>
      <c r="U210" s="9">
        <v>0</v>
      </c>
      <c r="V210" s="9">
        <v>1</v>
      </c>
      <c r="W210" s="9">
        <v>1</v>
      </c>
      <c r="X210" s="1">
        <f t="shared" si="2"/>
        <v>13</v>
      </c>
    </row>
    <row r="211" spans="2:24" ht="13.2" x14ac:dyDescent="0.25">
      <c r="B211" s="109"/>
      <c r="C211" s="9">
        <v>2019</v>
      </c>
      <c r="D211" s="9">
        <v>1</v>
      </c>
      <c r="E211" s="9">
        <v>1</v>
      </c>
      <c r="F211" s="9">
        <v>1</v>
      </c>
      <c r="G211" s="9">
        <v>1</v>
      </c>
      <c r="H211" s="9">
        <v>1</v>
      </c>
      <c r="I211" s="9">
        <v>1</v>
      </c>
      <c r="J211" s="9">
        <v>0</v>
      </c>
      <c r="K211" s="9">
        <v>0</v>
      </c>
      <c r="L211" s="9">
        <v>0</v>
      </c>
      <c r="M211" s="9">
        <v>0</v>
      </c>
      <c r="N211" s="9">
        <v>1</v>
      </c>
      <c r="O211" s="9">
        <v>0</v>
      </c>
      <c r="P211" s="9">
        <v>0</v>
      </c>
      <c r="Q211" s="9">
        <v>0</v>
      </c>
      <c r="R211" s="9">
        <v>0</v>
      </c>
      <c r="S211" s="9">
        <v>1</v>
      </c>
      <c r="T211" s="9">
        <v>0</v>
      </c>
      <c r="U211" s="9">
        <v>1</v>
      </c>
      <c r="V211" s="9">
        <v>1</v>
      </c>
      <c r="W211" s="9">
        <v>1</v>
      </c>
      <c r="X211" s="1">
        <f t="shared" si="2"/>
        <v>11</v>
      </c>
    </row>
    <row r="212" spans="2:24" ht="13.2" x14ac:dyDescent="0.25">
      <c r="B212" s="109"/>
      <c r="C212" s="9">
        <v>2020</v>
      </c>
      <c r="D212" s="9">
        <v>1</v>
      </c>
      <c r="E212" s="9">
        <v>1</v>
      </c>
      <c r="F212" s="9">
        <v>1</v>
      </c>
      <c r="G212" s="9">
        <v>1</v>
      </c>
      <c r="H212" s="9">
        <v>1</v>
      </c>
      <c r="I212" s="9">
        <v>1</v>
      </c>
      <c r="J212" s="9">
        <v>1</v>
      </c>
      <c r="K212" s="9">
        <v>0</v>
      </c>
      <c r="L212" s="9">
        <v>1</v>
      </c>
      <c r="M212" s="9">
        <v>0</v>
      </c>
      <c r="N212" s="9">
        <v>1</v>
      </c>
      <c r="O212" s="9">
        <v>0</v>
      </c>
      <c r="P212" s="9">
        <v>0</v>
      </c>
      <c r="Q212" s="9">
        <v>0</v>
      </c>
      <c r="R212" s="9">
        <v>0</v>
      </c>
      <c r="S212" s="9">
        <v>0</v>
      </c>
      <c r="T212" s="9">
        <v>0</v>
      </c>
      <c r="U212" s="9">
        <v>0</v>
      </c>
      <c r="V212" s="9">
        <v>1</v>
      </c>
      <c r="W212" s="9">
        <v>0</v>
      </c>
      <c r="X212" s="1">
        <f t="shared" si="2"/>
        <v>10</v>
      </c>
    </row>
    <row r="213" spans="2:24" ht="13.2" x14ac:dyDescent="0.25">
      <c r="B213" s="109"/>
      <c r="C213" s="9">
        <v>2021</v>
      </c>
      <c r="D213" s="9">
        <v>1</v>
      </c>
      <c r="E213" s="9">
        <v>1</v>
      </c>
      <c r="F213" s="9">
        <v>1</v>
      </c>
      <c r="G213" s="9">
        <v>1</v>
      </c>
      <c r="H213" s="9">
        <v>1</v>
      </c>
      <c r="I213" s="9">
        <v>1</v>
      </c>
      <c r="J213" s="9">
        <v>1</v>
      </c>
      <c r="K213" s="9">
        <v>1</v>
      </c>
      <c r="L213" s="9">
        <v>0</v>
      </c>
      <c r="M213" s="9">
        <v>1</v>
      </c>
      <c r="N213" s="9">
        <v>1</v>
      </c>
      <c r="O213" s="9">
        <v>0</v>
      </c>
      <c r="P213" s="9">
        <v>0</v>
      </c>
      <c r="Q213" s="9">
        <v>0</v>
      </c>
      <c r="R213" s="9">
        <v>0</v>
      </c>
      <c r="S213" s="9">
        <v>1</v>
      </c>
      <c r="T213" s="9">
        <v>1</v>
      </c>
      <c r="U213" s="9">
        <v>1</v>
      </c>
      <c r="V213" s="9">
        <v>1</v>
      </c>
      <c r="W213" s="9">
        <v>0</v>
      </c>
      <c r="X213" s="1">
        <f t="shared" si="2"/>
        <v>14</v>
      </c>
    </row>
    <row r="214" spans="2:24" ht="13.2" x14ac:dyDescent="0.25">
      <c r="B214" s="110"/>
      <c r="C214" s="9">
        <v>2022</v>
      </c>
      <c r="D214" s="9">
        <v>1</v>
      </c>
      <c r="E214" s="9">
        <v>1</v>
      </c>
      <c r="F214" s="9">
        <v>1</v>
      </c>
      <c r="G214" s="9">
        <v>1</v>
      </c>
      <c r="H214" s="9">
        <v>1</v>
      </c>
      <c r="I214" s="9">
        <v>1</v>
      </c>
      <c r="J214" s="9">
        <v>1</v>
      </c>
      <c r="K214" s="9">
        <v>0</v>
      </c>
      <c r="L214" s="9">
        <v>1</v>
      </c>
      <c r="M214" s="9">
        <v>0</v>
      </c>
      <c r="N214" s="9">
        <v>0</v>
      </c>
      <c r="O214" s="9">
        <v>0</v>
      </c>
      <c r="P214" s="9">
        <v>1</v>
      </c>
      <c r="Q214" s="9">
        <v>0</v>
      </c>
      <c r="R214" s="9">
        <v>1</v>
      </c>
      <c r="S214" s="9">
        <v>1</v>
      </c>
      <c r="T214" s="9">
        <v>0</v>
      </c>
      <c r="U214" s="9">
        <v>0</v>
      </c>
      <c r="V214" s="9">
        <v>0</v>
      </c>
      <c r="W214" s="9">
        <v>0</v>
      </c>
      <c r="X214" s="1">
        <f t="shared" si="2"/>
        <v>11</v>
      </c>
    </row>
    <row r="215" spans="2:24" ht="13.2" x14ac:dyDescent="0.25">
      <c r="B215" s="108" t="s">
        <v>162</v>
      </c>
      <c r="C215" s="9">
        <v>2018</v>
      </c>
      <c r="D215" s="9">
        <v>1</v>
      </c>
      <c r="E215" s="9">
        <v>1</v>
      </c>
      <c r="F215" s="9">
        <v>1</v>
      </c>
      <c r="G215" s="9">
        <v>1</v>
      </c>
      <c r="H215" s="9">
        <v>1</v>
      </c>
      <c r="I215" s="9">
        <v>1</v>
      </c>
      <c r="J215" s="9">
        <v>1</v>
      </c>
      <c r="K215" s="9">
        <v>0</v>
      </c>
      <c r="L215" s="9">
        <v>1</v>
      </c>
      <c r="M215" s="9">
        <v>0</v>
      </c>
      <c r="N215" s="9">
        <v>0</v>
      </c>
      <c r="O215" s="9">
        <v>1</v>
      </c>
      <c r="P215" s="9">
        <v>1</v>
      </c>
      <c r="Q215" s="9">
        <v>1</v>
      </c>
      <c r="R215" s="9">
        <v>0</v>
      </c>
      <c r="S215" s="9">
        <v>0</v>
      </c>
      <c r="T215" s="9">
        <v>0</v>
      </c>
      <c r="U215" s="9">
        <v>0</v>
      </c>
      <c r="V215" s="9">
        <v>1</v>
      </c>
      <c r="W215" s="9">
        <v>1</v>
      </c>
      <c r="X215" s="1">
        <f t="shared" si="2"/>
        <v>13</v>
      </c>
    </row>
    <row r="216" spans="2:24" ht="13.2" x14ac:dyDescent="0.25">
      <c r="B216" s="109"/>
      <c r="C216" s="9">
        <v>2019</v>
      </c>
      <c r="D216" s="9">
        <v>1</v>
      </c>
      <c r="E216" s="9">
        <v>1</v>
      </c>
      <c r="F216" s="9">
        <v>1</v>
      </c>
      <c r="G216" s="9">
        <v>1</v>
      </c>
      <c r="H216" s="9">
        <v>1</v>
      </c>
      <c r="I216" s="9">
        <v>1</v>
      </c>
      <c r="J216" s="9">
        <v>0</v>
      </c>
      <c r="K216" s="9">
        <v>1</v>
      </c>
      <c r="L216" s="9">
        <v>0</v>
      </c>
      <c r="M216" s="9">
        <v>0</v>
      </c>
      <c r="N216" s="9">
        <v>0</v>
      </c>
      <c r="O216" s="9">
        <v>1</v>
      </c>
      <c r="P216" s="9">
        <v>1</v>
      </c>
      <c r="Q216" s="9">
        <v>1</v>
      </c>
      <c r="R216" s="9">
        <v>1</v>
      </c>
      <c r="S216" s="9">
        <v>1</v>
      </c>
      <c r="T216" s="9">
        <v>0</v>
      </c>
      <c r="U216" s="9">
        <v>0</v>
      </c>
      <c r="V216" s="9">
        <v>1</v>
      </c>
      <c r="W216" s="9">
        <v>1</v>
      </c>
      <c r="X216" s="1">
        <f t="shared" si="2"/>
        <v>14</v>
      </c>
    </row>
    <row r="217" spans="2:24" ht="13.2" x14ac:dyDescent="0.25">
      <c r="B217" s="109"/>
      <c r="C217" s="9">
        <v>2020</v>
      </c>
      <c r="D217" s="9">
        <v>1</v>
      </c>
      <c r="E217" s="9">
        <v>1</v>
      </c>
      <c r="F217" s="9">
        <v>1</v>
      </c>
      <c r="G217" s="9">
        <v>1</v>
      </c>
      <c r="H217" s="9">
        <v>1</v>
      </c>
      <c r="I217" s="9">
        <v>1</v>
      </c>
      <c r="J217" s="9">
        <v>1</v>
      </c>
      <c r="K217" s="9">
        <v>0</v>
      </c>
      <c r="L217" s="9">
        <v>1</v>
      </c>
      <c r="M217" s="9">
        <v>0</v>
      </c>
      <c r="N217" s="9">
        <v>0</v>
      </c>
      <c r="O217" s="9">
        <v>0</v>
      </c>
      <c r="P217" s="9">
        <v>0</v>
      </c>
      <c r="Q217" s="9">
        <v>0</v>
      </c>
      <c r="R217" s="9">
        <v>0</v>
      </c>
      <c r="S217" s="9">
        <v>1</v>
      </c>
      <c r="T217" s="9">
        <v>1</v>
      </c>
      <c r="U217" s="9">
        <v>1</v>
      </c>
      <c r="V217" s="9">
        <v>0</v>
      </c>
      <c r="W217" s="9">
        <v>0</v>
      </c>
      <c r="X217" s="1">
        <f t="shared" si="2"/>
        <v>11</v>
      </c>
    </row>
    <row r="218" spans="2:24" ht="13.2" x14ac:dyDescent="0.25">
      <c r="B218" s="109"/>
      <c r="C218" s="9">
        <v>2021</v>
      </c>
      <c r="D218" s="9">
        <v>1</v>
      </c>
      <c r="E218" s="9">
        <v>1</v>
      </c>
      <c r="F218" s="9">
        <v>1</v>
      </c>
      <c r="G218" s="9">
        <v>1</v>
      </c>
      <c r="H218" s="9">
        <v>1</v>
      </c>
      <c r="I218" s="9">
        <v>1</v>
      </c>
      <c r="J218" s="9">
        <v>0</v>
      </c>
      <c r="K218" s="9">
        <v>0</v>
      </c>
      <c r="L218" s="9">
        <v>0</v>
      </c>
      <c r="M218" s="9">
        <v>1</v>
      </c>
      <c r="N218" s="9">
        <v>1</v>
      </c>
      <c r="O218" s="9">
        <v>1</v>
      </c>
      <c r="P218" s="9">
        <v>1</v>
      </c>
      <c r="Q218" s="9">
        <v>0</v>
      </c>
      <c r="R218" s="9">
        <v>0</v>
      </c>
      <c r="S218" s="9">
        <v>0</v>
      </c>
      <c r="T218" s="9">
        <v>0</v>
      </c>
      <c r="U218" s="9">
        <v>0</v>
      </c>
      <c r="V218" s="9">
        <v>0</v>
      </c>
      <c r="W218" s="9">
        <v>0</v>
      </c>
      <c r="X218" s="1">
        <f t="shared" si="2"/>
        <v>10</v>
      </c>
    </row>
    <row r="219" spans="2:24" ht="13.2" x14ac:dyDescent="0.25">
      <c r="B219" s="110"/>
      <c r="C219" s="9">
        <v>2022</v>
      </c>
      <c r="D219" s="9">
        <v>1</v>
      </c>
      <c r="E219" s="9">
        <v>1</v>
      </c>
      <c r="F219" s="9">
        <v>1</v>
      </c>
      <c r="G219" s="9">
        <v>1</v>
      </c>
      <c r="H219" s="9">
        <v>1</v>
      </c>
      <c r="I219" s="9">
        <v>1</v>
      </c>
      <c r="J219" s="9">
        <v>0</v>
      </c>
      <c r="K219" s="9">
        <v>0</v>
      </c>
      <c r="L219" s="9">
        <v>0</v>
      </c>
      <c r="M219" s="9">
        <v>0</v>
      </c>
      <c r="N219" s="9">
        <v>0</v>
      </c>
      <c r="O219" s="9">
        <v>1</v>
      </c>
      <c r="P219" s="9">
        <v>1</v>
      </c>
      <c r="Q219" s="9">
        <v>0</v>
      </c>
      <c r="R219" s="9">
        <v>1</v>
      </c>
      <c r="S219" s="9">
        <v>1</v>
      </c>
      <c r="T219" s="9">
        <v>1</v>
      </c>
      <c r="U219" s="9">
        <v>1</v>
      </c>
      <c r="V219" s="9">
        <v>0</v>
      </c>
      <c r="W219" s="9">
        <v>0</v>
      </c>
      <c r="X219" s="1">
        <f t="shared" si="2"/>
        <v>12</v>
      </c>
    </row>
    <row r="220" spans="2:24" ht="13.2" x14ac:dyDescent="0.25">
      <c r="B220" s="108" t="s">
        <v>168</v>
      </c>
      <c r="C220" s="9">
        <v>2018</v>
      </c>
      <c r="D220" s="9">
        <v>1</v>
      </c>
      <c r="E220" s="9">
        <v>1</v>
      </c>
      <c r="F220" s="9">
        <v>1</v>
      </c>
      <c r="G220" s="9">
        <v>1</v>
      </c>
      <c r="H220" s="9">
        <v>1</v>
      </c>
      <c r="I220" s="9">
        <v>1</v>
      </c>
      <c r="J220" s="9">
        <v>0</v>
      </c>
      <c r="K220" s="9">
        <v>0</v>
      </c>
      <c r="L220" s="9">
        <v>0</v>
      </c>
      <c r="M220" s="9">
        <v>0</v>
      </c>
      <c r="N220" s="9">
        <v>0</v>
      </c>
      <c r="O220" s="9">
        <v>0</v>
      </c>
      <c r="P220" s="9">
        <v>0</v>
      </c>
      <c r="Q220" s="9">
        <v>1</v>
      </c>
      <c r="R220" s="9">
        <v>0</v>
      </c>
      <c r="S220" s="9">
        <v>1</v>
      </c>
      <c r="T220" s="9">
        <v>0</v>
      </c>
      <c r="U220" s="9">
        <v>1</v>
      </c>
      <c r="V220" s="9">
        <v>0</v>
      </c>
      <c r="W220" s="9">
        <v>0</v>
      </c>
      <c r="X220" s="1">
        <f t="shared" si="2"/>
        <v>9</v>
      </c>
    </row>
    <row r="221" spans="2:24" ht="13.2" x14ac:dyDescent="0.25">
      <c r="B221" s="109"/>
      <c r="C221" s="9">
        <v>2019</v>
      </c>
      <c r="D221" s="9">
        <v>1</v>
      </c>
      <c r="E221" s="9">
        <v>1</v>
      </c>
      <c r="F221" s="9">
        <v>1</v>
      </c>
      <c r="G221" s="9">
        <v>1</v>
      </c>
      <c r="H221" s="9">
        <v>1</v>
      </c>
      <c r="I221" s="9">
        <v>1</v>
      </c>
      <c r="J221" s="9">
        <v>1</v>
      </c>
      <c r="K221" s="9">
        <v>0</v>
      </c>
      <c r="L221" s="9">
        <v>0</v>
      </c>
      <c r="M221" s="9">
        <v>1</v>
      </c>
      <c r="N221" s="9">
        <v>0</v>
      </c>
      <c r="O221" s="9">
        <v>1</v>
      </c>
      <c r="P221" s="9">
        <v>1</v>
      </c>
      <c r="Q221" s="9">
        <v>0</v>
      </c>
      <c r="R221" s="9">
        <v>1</v>
      </c>
      <c r="S221" s="9">
        <v>0</v>
      </c>
      <c r="T221" s="9">
        <v>1</v>
      </c>
      <c r="U221" s="9">
        <v>1</v>
      </c>
      <c r="V221" s="9">
        <v>1</v>
      </c>
      <c r="W221" s="9">
        <v>1</v>
      </c>
      <c r="X221" s="1">
        <f t="shared" si="2"/>
        <v>15</v>
      </c>
    </row>
    <row r="222" spans="2:24" ht="13.2" x14ac:dyDescent="0.25">
      <c r="B222" s="109"/>
      <c r="C222" s="9">
        <v>2020</v>
      </c>
      <c r="D222" s="9">
        <v>1</v>
      </c>
      <c r="E222" s="9">
        <v>1</v>
      </c>
      <c r="F222" s="9">
        <v>1</v>
      </c>
      <c r="G222" s="9">
        <v>1</v>
      </c>
      <c r="H222" s="9">
        <v>1</v>
      </c>
      <c r="I222" s="9">
        <v>1</v>
      </c>
      <c r="J222" s="9">
        <v>1</v>
      </c>
      <c r="K222" s="9">
        <v>0</v>
      </c>
      <c r="L222" s="9">
        <v>0</v>
      </c>
      <c r="M222" s="9">
        <v>1</v>
      </c>
      <c r="N222" s="9">
        <v>1</v>
      </c>
      <c r="O222" s="9">
        <v>0</v>
      </c>
      <c r="P222" s="9">
        <v>0</v>
      </c>
      <c r="Q222" s="9">
        <v>0</v>
      </c>
      <c r="R222" s="9">
        <v>0</v>
      </c>
      <c r="S222" s="9">
        <v>0</v>
      </c>
      <c r="T222" s="9">
        <v>0</v>
      </c>
      <c r="U222" s="9">
        <v>0</v>
      </c>
      <c r="V222" s="9">
        <v>1</v>
      </c>
      <c r="W222" s="9">
        <v>1</v>
      </c>
      <c r="X222" s="1">
        <f t="shared" si="2"/>
        <v>11</v>
      </c>
    </row>
    <row r="223" spans="2:24" ht="13.2" x14ac:dyDescent="0.25">
      <c r="B223" s="109"/>
      <c r="C223" s="9">
        <v>2021</v>
      </c>
      <c r="D223" s="9">
        <v>1</v>
      </c>
      <c r="E223" s="9">
        <v>1</v>
      </c>
      <c r="F223" s="9">
        <v>1</v>
      </c>
      <c r="G223" s="9">
        <v>1</v>
      </c>
      <c r="H223" s="9">
        <v>1</v>
      </c>
      <c r="I223" s="9">
        <v>1</v>
      </c>
      <c r="J223" s="9">
        <v>1</v>
      </c>
      <c r="K223" s="9">
        <v>0</v>
      </c>
      <c r="L223" s="9">
        <v>0</v>
      </c>
      <c r="M223" s="9">
        <v>1</v>
      </c>
      <c r="N223" s="9">
        <v>0</v>
      </c>
      <c r="O223" s="9">
        <v>1</v>
      </c>
      <c r="P223" s="9">
        <v>1</v>
      </c>
      <c r="Q223" s="9">
        <v>0</v>
      </c>
      <c r="R223" s="9">
        <v>1</v>
      </c>
      <c r="S223" s="9">
        <v>0</v>
      </c>
      <c r="T223" s="9">
        <v>1</v>
      </c>
      <c r="U223" s="9">
        <v>1</v>
      </c>
      <c r="V223" s="9">
        <v>0</v>
      </c>
      <c r="W223" s="9">
        <v>0</v>
      </c>
      <c r="X223" s="1">
        <f t="shared" si="2"/>
        <v>13</v>
      </c>
    </row>
    <row r="224" spans="2:24" ht="13.2" x14ac:dyDescent="0.25">
      <c r="B224" s="110"/>
      <c r="C224" s="9">
        <v>2022</v>
      </c>
      <c r="D224" s="9">
        <v>1</v>
      </c>
      <c r="E224" s="9">
        <v>1</v>
      </c>
      <c r="F224" s="9">
        <v>1</v>
      </c>
      <c r="G224" s="9">
        <v>1</v>
      </c>
      <c r="H224" s="9">
        <v>1</v>
      </c>
      <c r="I224" s="9">
        <v>1</v>
      </c>
      <c r="J224" s="9">
        <v>0</v>
      </c>
      <c r="K224" s="9">
        <v>0</v>
      </c>
      <c r="L224" s="9">
        <v>0</v>
      </c>
      <c r="M224" s="9">
        <v>0</v>
      </c>
      <c r="N224" s="9">
        <v>1</v>
      </c>
      <c r="O224" s="9">
        <v>0</v>
      </c>
      <c r="P224" s="9">
        <v>0</v>
      </c>
      <c r="Q224" s="9">
        <v>0</v>
      </c>
      <c r="R224" s="9">
        <v>1</v>
      </c>
      <c r="S224" s="9">
        <v>0</v>
      </c>
      <c r="T224" s="9">
        <v>0</v>
      </c>
      <c r="U224" s="9">
        <v>1</v>
      </c>
      <c r="V224" s="9">
        <v>0</v>
      </c>
      <c r="W224" s="9">
        <v>1</v>
      </c>
      <c r="X224" s="1">
        <f t="shared" si="2"/>
        <v>10</v>
      </c>
    </row>
    <row r="225" spans="2:24" ht="13.2" x14ac:dyDescent="0.25">
      <c r="B225" s="108" t="s">
        <v>173</v>
      </c>
      <c r="C225" s="9">
        <v>2018</v>
      </c>
      <c r="D225" s="9">
        <v>1</v>
      </c>
      <c r="E225" s="9">
        <v>1</v>
      </c>
      <c r="F225" s="9">
        <v>1</v>
      </c>
      <c r="G225" s="9">
        <v>1</v>
      </c>
      <c r="H225" s="9">
        <v>1</v>
      </c>
      <c r="I225" s="9">
        <v>1</v>
      </c>
      <c r="J225" s="9">
        <v>1</v>
      </c>
      <c r="K225" s="9">
        <v>0</v>
      </c>
      <c r="L225" s="9">
        <v>1</v>
      </c>
      <c r="M225" s="9">
        <v>1</v>
      </c>
      <c r="N225" s="9">
        <v>0</v>
      </c>
      <c r="O225" s="9">
        <v>1</v>
      </c>
      <c r="P225" s="9">
        <v>0</v>
      </c>
      <c r="Q225" s="9">
        <v>0</v>
      </c>
      <c r="R225" s="9">
        <v>1</v>
      </c>
      <c r="S225" s="9">
        <v>0</v>
      </c>
      <c r="T225" s="9">
        <v>1</v>
      </c>
      <c r="U225" s="9">
        <v>1</v>
      </c>
      <c r="V225" s="9">
        <v>0</v>
      </c>
      <c r="W225" s="9">
        <v>0</v>
      </c>
      <c r="X225" s="1">
        <f t="shared" si="2"/>
        <v>13</v>
      </c>
    </row>
    <row r="226" spans="2:24" ht="13.2" x14ac:dyDescent="0.25">
      <c r="B226" s="109"/>
      <c r="C226" s="9">
        <v>2019</v>
      </c>
      <c r="D226" s="9">
        <v>1</v>
      </c>
      <c r="E226" s="9">
        <v>1</v>
      </c>
      <c r="F226" s="9">
        <v>1</v>
      </c>
      <c r="G226" s="9">
        <v>1</v>
      </c>
      <c r="H226" s="9">
        <v>1</v>
      </c>
      <c r="I226" s="9">
        <v>1</v>
      </c>
      <c r="J226" s="9">
        <v>0</v>
      </c>
      <c r="K226" s="9">
        <v>0</v>
      </c>
      <c r="L226" s="9">
        <v>0</v>
      </c>
      <c r="M226" s="9">
        <v>0</v>
      </c>
      <c r="N226" s="9">
        <v>0</v>
      </c>
      <c r="O226" s="9">
        <v>0</v>
      </c>
      <c r="P226" s="9">
        <v>0</v>
      </c>
      <c r="Q226" s="9">
        <v>0</v>
      </c>
      <c r="R226" s="9">
        <v>1</v>
      </c>
      <c r="S226" s="9">
        <v>0</v>
      </c>
      <c r="T226" s="9">
        <v>0</v>
      </c>
      <c r="U226" s="9">
        <v>1</v>
      </c>
      <c r="V226" s="9">
        <v>1</v>
      </c>
      <c r="W226" s="9">
        <v>1</v>
      </c>
      <c r="X226" s="1">
        <f t="shared" si="2"/>
        <v>10</v>
      </c>
    </row>
    <row r="227" spans="2:24" ht="13.2" x14ac:dyDescent="0.25">
      <c r="B227" s="109"/>
      <c r="C227" s="9">
        <v>2020</v>
      </c>
      <c r="D227" s="9">
        <v>1</v>
      </c>
      <c r="E227" s="9">
        <v>1</v>
      </c>
      <c r="F227" s="9">
        <v>1</v>
      </c>
      <c r="G227" s="9">
        <v>1</v>
      </c>
      <c r="H227" s="9">
        <v>1</v>
      </c>
      <c r="I227" s="9">
        <v>1</v>
      </c>
      <c r="J227" s="9">
        <v>0</v>
      </c>
      <c r="K227" s="9">
        <v>0</v>
      </c>
      <c r="L227" s="9">
        <v>0</v>
      </c>
      <c r="M227" s="9">
        <v>0</v>
      </c>
      <c r="N227" s="9">
        <v>1</v>
      </c>
      <c r="O227" s="9">
        <v>0</v>
      </c>
      <c r="P227" s="9">
        <v>1</v>
      </c>
      <c r="Q227" s="9">
        <v>1</v>
      </c>
      <c r="R227" s="9">
        <v>0</v>
      </c>
      <c r="S227" s="9">
        <v>1</v>
      </c>
      <c r="T227" s="9">
        <v>1</v>
      </c>
      <c r="U227" s="9">
        <v>1</v>
      </c>
      <c r="V227" s="9">
        <v>0</v>
      </c>
      <c r="W227" s="9">
        <v>0</v>
      </c>
      <c r="X227" s="1">
        <f t="shared" si="2"/>
        <v>12</v>
      </c>
    </row>
    <row r="228" spans="2:24" ht="13.2" x14ac:dyDescent="0.25">
      <c r="B228" s="109"/>
      <c r="C228" s="9">
        <v>2021</v>
      </c>
      <c r="D228" s="9">
        <v>1</v>
      </c>
      <c r="E228" s="9">
        <v>1</v>
      </c>
      <c r="F228" s="9">
        <v>1</v>
      </c>
      <c r="G228" s="9">
        <v>1</v>
      </c>
      <c r="H228" s="9">
        <v>1</v>
      </c>
      <c r="I228" s="9">
        <v>1</v>
      </c>
      <c r="J228" s="9">
        <v>0</v>
      </c>
      <c r="K228" s="9">
        <v>1</v>
      </c>
      <c r="L228" s="9">
        <v>0</v>
      </c>
      <c r="M228" s="9">
        <v>0</v>
      </c>
      <c r="N228" s="9">
        <v>0</v>
      </c>
      <c r="O228" s="9">
        <v>0</v>
      </c>
      <c r="P228" s="9">
        <v>1</v>
      </c>
      <c r="Q228" s="9">
        <v>1</v>
      </c>
      <c r="R228" s="9">
        <v>0</v>
      </c>
      <c r="S228" s="9">
        <v>0</v>
      </c>
      <c r="T228" s="9">
        <v>0</v>
      </c>
      <c r="U228" s="9">
        <v>0</v>
      </c>
      <c r="V228" s="9">
        <v>1</v>
      </c>
      <c r="W228" s="9">
        <v>0</v>
      </c>
      <c r="X228" s="1">
        <f t="shared" si="2"/>
        <v>10</v>
      </c>
    </row>
    <row r="229" spans="2:24" ht="13.2" x14ac:dyDescent="0.25">
      <c r="B229" s="110"/>
      <c r="C229" s="9">
        <v>2022</v>
      </c>
      <c r="D229" s="9">
        <v>1</v>
      </c>
      <c r="E229" s="9">
        <v>1</v>
      </c>
      <c r="F229" s="9">
        <v>1</v>
      </c>
      <c r="G229" s="9">
        <v>1</v>
      </c>
      <c r="H229" s="9">
        <v>1</v>
      </c>
      <c r="I229" s="9">
        <v>1</v>
      </c>
      <c r="J229" s="9">
        <v>1</v>
      </c>
      <c r="K229" s="9">
        <v>0</v>
      </c>
      <c r="L229" s="9">
        <v>1</v>
      </c>
      <c r="M229" s="9">
        <v>0</v>
      </c>
      <c r="N229" s="9">
        <v>1</v>
      </c>
      <c r="O229" s="9">
        <v>0</v>
      </c>
      <c r="P229" s="9">
        <v>1</v>
      </c>
      <c r="Q229" s="9">
        <v>0</v>
      </c>
      <c r="R229" s="9">
        <v>1</v>
      </c>
      <c r="S229" s="9">
        <v>1</v>
      </c>
      <c r="T229" s="9">
        <v>0</v>
      </c>
      <c r="U229" s="9">
        <v>0</v>
      </c>
      <c r="V229" s="9">
        <v>1</v>
      </c>
      <c r="W229" s="9">
        <v>1</v>
      </c>
      <c r="X229" s="1">
        <f t="shared" si="2"/>
        <v>14</v>
      </c>
    </row>
    <row r="230" spans="2:24" ht="13.2" x14ac:dyDescent="0.25">
      <c r="B230" s="108" t="s">
        <v>174</v>
      </c>
      <c r="C230" s="9">
        <v>2018</v>
      </c>
      <c r="D230" s="9">
        <v>1</v>
      </c>
      <c r="E230" s="9">
        <v>1</v>
      </c>
      <c r="F230" s="9">
        <v>1</v>
      </c>
      <c r="G230" s="9">
        <v>1</v>
      </c>
      <c r="H230" s="9">
        <v>1</v>
      </c>
      <c r="I230" s="9">
        <v>1</v>
      </c>
      <c r="J230" s="9">
        <v>1</v>
      </c>
      <c r="K230" s="9">
        <v>0</v>
      </c>
      <c r="L230" s="9">
        <v>0</v>
      </c>
      <c r="M230" s="9">
        <v>0</v>
      </c>
      <c r="N230" s="9">
        <v>1</v>
      </c>
      <c r="O230" s="9">
        <v>1</v>
      </c>
      <c r="P230" s="9">
        <v>0</v>
      </c>
      <c r="Q230" s="9">
        <v>0</v>
      </c>
      <c r="R230" s="9">
        <v>1</v>
      </c>
      <c r="S230" s="9">
        <v>1</v>
      </c>
      <c r="T230" s="9">
        <v>1</v>
      </c>
      <c r="U230" s="9">
        <v>1</v>
      </c>
      <c r="V230" s="9">
        <v>1</v>
      </c>
      <c r="W230" s="9">
        <v>1</v>
      </c>
      <c r="X230" s="1">
        <f t="shared" si="2"/>
        <v>15</v>
      </c>
    </row>
    <row r="231" spans="2:24" ht="13.2" x14ac:dyDescent="0.25">
      <c r="B231" s="109"/>
      <c r="C231" s="9">
        <v>2019</v>
      </c>
      <c r="D231" s="9">
        <v>1</v>
      </c>
      <c r="E231" s="9">
        <v>1</v>
      </c>
      <c r="F231" s="9">
        <v>1</v>
      </c>
      <c r="G231" s="9">
        <v>1</v>
      </c>
      <c r="H231" s="9">
        <v>1</v>
      </c>
      <c r="I231" s="9">
        <v>1</v>
      </c>
      <c r="J231" s="9">
        <v>1</v>
      </c>
      <c r="K231" s="9">
        <v>1</v>
      </c>
      <c r="L231" s="9">
        <v>0</v>
      </c>
      <c r="M231" s="9">
        <v>0</v>
      </c>
      <c r="N231" s="9">
        <v>1</v>
      </c>
      <c r="O231" s="9">
        <v>0</v>
      </c>
      <c r="P231" s="9">
        <v>0</v>
      </c>
      <c r="Q231" s="9">
        <v>0</v>
      </c>
      <c r="R231" s="9">
        <v>0</v>
      </c>
      <c r="S231" s="9">
        <v>1</v>
      </c>
      <c r="T231" s="9">
        <v>1</v>
      </c>
      <c r="U231" s="9">
        <v>0</v>
      </c>
      <c r="V231" s="9">
        <v>0</v>
      </c>
      <c r="W231" s="9">
        <v>1</v>
      </c>
      <c r="X231" s="1">
        <f t="shared" si="2"/>
        <v>12</v>
      </c>
    </row>
    <row r="232" spans="2:24" ht="13.2" x14ac:dyDescent="0.25">
      <c r="B232" s="109"/>
      <c r="C232" s="9">
        <v>2020</v>
      </c>
      <c r="D232" s="9">
        <v>1</v>
      </c>
      <c r="E232" s="9">
        <v>1</v>
      </c>
      <c r="F232" s="9">
        <v>1</v>
      </c>
      <c r="G232" s="9">
        <v>1</v>
      </c>
      <c r="H232" s="9">
        <v>1</v>
      </c>
      <c r="I232" s="9">
        <v>1</v>
      </c>
      <c r="J232" s="9">
        <v>0</v>
      </c>
      <c r="K232" s="9">
        <v>0</v>
      </c>
      <c r="L232" s="9">
        <v>1</v>
      </c>
      <c r="M232" s="9">
        <v>1</v>
      </c>
      <c r="N232" s="9">
        <v>0</v>
      </c>
      <c r="O232" s="9">
        <v>1</v>
      </c>
      <c r="P232" s="9">
        <v>0</v>
      </c>
      <c r="Q232" s="9">
        <v>1</v>
      </c>
      <c r="R232" s="9">
        <v>1</v>
      </c>
      <c r="S232" s="9">
        <v>1</v>
      </c>
      <c r="T232" s="9">
        <v>0</v>
      </c>
      <c r="U232" s="9">
        <v>0</v>
      </c>
      <c r="V232" s="9">
        <v>1</v>
      </c>
      <c r="W232" s="9">
        <v>1</v>
      </c>
      <c r="X232" s="1">
        <f t="shared" si="2"/>
        <v>14</v>
      </c>
    </row>
    <row r="233" spans="2:24" ht="13.2" x14ac:dyDescent="0.25">
      <c r="B233" s="109"/>
      <c r="C233" s="9">
        <v>2021</v>
      </c>
      <c r="D233" s="9">
        <v>1</v>
      </c>
      <c r="E233" s="9">
        <v>1</v>
      </c>
      <c r="F233" s="9">
        <v>1</v>
      </c>
      <c r="G233" s="9">
        <v>1</v>
      </c>
      <c r="H233" s="9">
        <v>1</v>
      </c>
      <c r="I233" s="9">
        <v>1</v>
      </c>
      <c r="J233" s="9">
        <v>0</v>
      </c>
      <c r="K233" s="9">
        <v>0</v>
      </c>
      <c r="L233" s="9">
        <v>1</v>
      </c>
      <c r="M233" s="9">
        <v>0</v>
      </c>
      <c r="N233" s="9">
        <v>1</v>
      </c>
      <c r="O233" s="9">
        <v>1</v>
      </c>
      <c r="P233" s="9">
        <v>1</v>
      </c>
      <c r="Q233" s="9">
        <v>1</v>
      </c>
      <c r="R233" s="9">
        <v>0</v>
      </c>
      <c r="S233" s="9">
        <v>1</v>
      </c>
      <c r="T233" s="9">
        <v>1</v>
      </c>
      <c r="U233" s="9">
        <v>1</v>
      </c>
      <c r="V233" s="9">
        <v>0</v>
      </c>
      <c r="W233" s="9">
        <v>1</v>
      </c>
      <c r="X233" s="1">
        <f t="shared" si="2"/>
        <v>15</v>
      </c>
    </row>
    <row r="234" spans="2:24" ht="13.2" x14ac:dyDescent="0.25">
      <c r="B234" s="110"/>
      <c r="C234" s="9">
        <v>2022</v>
      </c>
      <c r="D234" s="9">
        <v>1</v>
      </c>
      <c r="E234" s="9">
        <v>1</v>
      </c>
      <c r="F234" s="9">
        <v>1</v>
      </c>
      <c r="G234" s="9">
        <v>1</v>
      </c>
      <c r="H234" s="9">
        <v>1</v>
      </c>
      <c r="I234" s="9">
        <v>1</v>
      </c>
      <c r="J234" s="9">
        <v>0</v>
      </c>
      <c r="K234" s="9">
        <v>1</v>
      </c>
      <c r="L234" s="9">
        <v>1</v>
      </c>
      <c r="M234" s="9">
        <v>0</v>
      </c>
      <c r="N234" s="9">
        <v>1</v>
      </c>
      <c r="O234" s="9">
        <v>1</v>
      </c>
      <c r="P234" s="9">
        <v>0</v>
      </c>
      <c r="Q234" s="9">
        <v>1</v>
      </c>
      <c r="R234" s="9">
        <v>1</v>
      </c>
      <c r="S234" s="9">
        <v>1</v>
      </c>
      <c r="T234" s="9">
        <v>1</v>
      </c>
      <c r="U234" s="9">
        <v>0</v>
      </c>
      <c r="V234" s="9">
        <v>1</v>
      </c>
      <c r="W234" s="9">
        <v>0</v>
      </c>
      <c r="X234" s="1">
        <f t="shared" si="2"/>
        <v>15</v>
      </c>
    </row>
    <row r="235" spans="2:24" ht="13.2" x14ac:dyDescent="0.25">
      <c r="B235" s="108" t="s">
        <v>175</v>
      </c>
      <c r="C235" s="9">
        <v>2018</v>
      </c>
      <c r="D235" s="9">
        <v>1</v>
      </c>
      <c r="E235" s="9">
        <v>1</v>
      </c>
      <c r="F235" s="9">
        <v>1</v>
      </c>
      <c r="G235" s="9">
        <v>1</v>
      </c>
      <c r="H235" s="9">
        <v>1</v>
      </c>
      <c r="I235" s="9">
        <v>1</v>
      </c>
      <c r="J235" s="9">
        <v>0</v>
      </c>
      <c r="K235" s="9">
        <v>1</v>
      </c>
      <c r="L235" s="9">
        <v>0</v>
      </c>
      <c r="M235" s="9">
        <v>1</v>
      </c>
      <c r="N235" s="9">
        <v>1</v>
      </c>
      <c r="O235" s="9">
        <v>1</v>
      </c>
      <c r="P235" s="9">
        <v>1</v>
      </c>
      <c r="Q235" s="9">
        <v>1</v>
      </c>
      <c r="R235" s="9">
        <v>1</v>
      </c>
      <c r="S235" s="9">
        <v>1</v>
      </c>
      <c r="T235" s="9">
        <v>0</v>
      </c>
      <c r="U235" s="9">
        <v>1</v>
      </c>
      <c r="V235" s="9">
        <v>1</v>
      </c>
      <c r="W235" s="9">
        <v>0</v>
      </c>
      <c r="X235" s="1">
        <f t="shared" si="2"/>
        <v>16</v>
      </c>
    </row>
    <row r="236" spans="2:24" ht="13.2" x14ac:dyDescent="0.25">
      <c r="B236" s="109"/>
      <c r="C236" s="9">
        <v>2019</v>
      </c>
      <c r="D236" s="9">
        <v>1</v>
      </c>
      <c r="E236" s="9">
        <v>1</v>
      </c>
      <c r="F236" s="9">
        <v>1</v>
      </c>
      <c r="G236" s="9">
        <v>1</v>
      </c>
      <c r="H236" s="9">
        <v>1</v>
      </c>
      <c r="I236" s="9">
        <v>1</v>
      </c>
      <c r="J236" s="9">
        <v>0</v>
      </c>
      <c r="K236" s="9">
        <v>0</v>
      </c>
      <c r="L236" s="9">
        <v>1</v>
      </c>
      <c r="M236" s="9">
        <v>0</v>
      </c>
      <c r="N236" s="9">
        <v>0</v>
      </c>
      <c r="O236" s="9">
        <v>1</v>
      </c>
      <c r="P236" s="9">
        <v>1</v>
      </c>
      <c r="Q236" s="9">
        <v>1</v>
      </c>
      <c r="R236" s="9">
        <v>1</v>
      </c>
      <c r="S236" s="9">
        <v>1</v>
      </c>
      <c r="T236" s="9">
        <v>1</v>
      </c>
      <c r="U236" s="9">
        <v>1</v>
      </c>
      <c r="V236" s="9">
        <v>1</v>
      </c>
      <c r="W236" s="9">
        <v>1</v>
      </c>
      <c r="X236" s="1">
        <f t="shared" si="2"/>
        <v>16</v>
      </c>
    </row>
    <row r="237" spans="2:24" ht="13.2" x14ac:dyDescent="0.25">
      <c r="B237" s="109"/>
      <c r="C237" s="9">
        <v>2020</v>
      </c>
      <c r="D237" s="9">
        <v>1</v>
      </c>
      <c r="E237" s="9">
        <v>1</v>
      </c>
      <c r="F237" s="9">
        <v>1</v>
      </c>
      <c r="G237" s="9">
        <v>1</v>
      </c>
      <c r="H237" s="9">
        <v>1</v>
      </c>
      <c r="I237" s="9">
        <v>1</v>
      </c>
      <c r="J237" s="9">
        <v>0</v>
      </c>
      <c r="K237" s="9">
        <v>1</v>
      </c>
      <c r="L237" s="9">
        <v>0</v>
      </c>
      <c r="M237" s="9">
        <v>1</v>
      </c>
      <c r="N237" s="9">
        <v>0</v>
      </c>
      <c r="O237" s="9">
        <v>1</v>
      </c>
      <c r="P237" s="9">
        <v>1</v>
      </c>
      <c r="Q237" s="9">
        <v>0</v>
      </c>
      <c r="R237" s="9">
        <v>1</v>
      </c>
      <c r="S237" s="9">
        <v>0</v>
      </c>
      <c r="T237" s="9">
        <v>0</v>
      </c>
      <c r="U237" s="9">
        <v>0</v>
      </c>
      <c r="V237" s="9">
        <v>0</v>
      </c>
      <c r="W237" s="9">
        <v>0</v>
      </c>
      <c r="X237" s="1">
        <f t="shared" si="2"/>
        <v>11</v>
      </c>
    </row>
    <row r="238" spans="2:24" ht="13.2" x14ac:dyDescent="0.25">
      <c r="B238" s="109"/>
      <c r="C238" s="9">
        <v>2021</v>
      </c>
      <c r="D238" s="9">
        <v>1</v>
      </c>
      <c r="E238" s="9">
        <v>1</v>
      </c>
      <c r="F238" s="9">
        <v>1</v>
      </c>
      <c r="G238" s="9">
        <v>1</v>
      </c>
      <c r="H238" s="9">
        <v>1</v>
      </c>
      <c r="I238" s="9">
        <v>1</v>
      </c>
      <c r="J238" s="9">
        <v>0</v>
      </c>
      <c r="K238" s="9">
        <v>0</v>
      </c>
      <c r="L238" s="9">
        <v>1</v>
      </c>
      <c r="M238" s="9">
        <v>0</v>
      </c>
      <c r="N238" s="9">
        <v>1</v>
      </c>
      <c r="O238" s="9">
        <v>1</v>
      </c>
      <c r="P238" s="9">
        <v>0</v>
      </c>
      <c r="Q238" s="9">
        <v>0</v>
      </c>
      <c r="R238" s="9">
        <v>0</v>
      </c>
      <c r="S238" s="9">
        <v>1</v>
      </c>
      <c r="T238" s="9">
        <v>0</v>
      </c>
      <c r="U238" s="9">
        <v>1</v>
      </c>
      <c r="V238" s="9">
        <v>1</v>
      </c>
      <c r="W238" s="9">
        <v>1</v>
      </c>
      <c r="X238" s="1">
        <f t="shared" si="2"/>
        <v>13</v>
      </c>
    </row>
    <row r="239" spans="2:24" ht="13.2" x14ac:dyDescent="0.25">
      <c r="B239" s="110"/>
      <c r="C239" s="9">
        <v>2022</v>
      </c>
      <c r="D239" s="9">
        <v>1</v>
      </c>
      <c r="E239" s="9">
        <v>1</v>
      </c>
      <c r="F239" s="9">
        <v>1</v>
      </c>
      <c r="G239" s="9">
        <v>1</v>
      </c>
      <c r="H239" s="9">
        <v>1</v>
      </c>
      <c r="I239" s="9">
        <v>1</v>
      </c>
      <c r="J239" s="9">
        <v>1</v>
      </c>
      <c r="K239" s="9">
        <v>0</v>
      </c>
      <c r="L239" s="9">
        <v>1</v>
      </c>
      <c r="M239" s="9">
        <v>0</v>
      </c>
      <c r="N239" s="9">
        <v>0</v>
      </c>
      <c r="O239" s="9">
        <v>1</v>
      </c>
      <c r="P239" s="9">
        <v>0</v>
      </c>
      <c r="Q239" s="9">
        <v>0</v>
      </c>
      <c r="R239" s="9">
        <v>1</v>
      </c>
      <c r="S239" s="9">
        <v>1</v>
      </c>
      <c r="T239" s="9">
        <v>0</v>
      </c>
      <c r="U239" s="9">
        <v>0</v>
      </c>
      <c r="V239" s="9">
        <v>0</v>
      </c>
      <c r="W239" s="9">
        <v>0</v>
      </c>
      <c r="X239" s="1">
        <f t="shared" si="2"/>
        <v>11</v>
      </c>
    </row>
    <row r="240" spans="2:24" ht="13.2" x14ac:dyDescent="0.25">
      <c r="B240" s="108" t="s">
        <v>176</v>
      </c>
      <c r="C240" s="9">
        <v>2018</v>
      </c>
      <c r="D240" s="9">
        <v>1</v>
      </c>
      <c r="E240" s="9">
        <v>1</v>
      </c>
      <c r="F240" s="9">
        <v>1</v>
      </c>
      <c r="G240" s="9">
        <v>1</v>
      </c>
      <c r="H240" s="9">
        <v>1</v>
      </c>
      <c r="I240" s="9">
        <v>1</v>
      </c>
      <c r="J240" s="9">
        <v>1</v>
      </c>
      <c r="K240" s="9">
        <v>0</v>
      </c>
      <c r="L240" s="9">
        <v>0</v>
      </c>
      <c r="M240" s="9">
        <v>1</v>
      </c>
      <c r="N240" s="9">
        <v>0</v>
      </c>
      <c r="O240" s="9">
        <v>0</v>
      </c>
      <c r="P240" s="9">
        <v>0</v>
      </c>
      <c r="Q240" s="9">
        <v>0</v>
      </c>
      <c r="R240" s="9">
        <v>0</v>
      </c>
      <c r="S240" s="9">
        <v>1</v>
      </c>
      <c r="T240" s="9">
        <v>0</v>
      </c>
      <c r="U240" s="9">
        <v>0</v>
      </c>
      <c r="V240" s="9">
        <v>1</v>
      </c>
      <c r="W240" s="9">
        <v>1</v>
      </c>
      <c r="X240" s="1">
        <f t="shared" si="2"/>
        <v>11</v>
      </c>
    </row>
    <row r="241" spans="2:24" ht="13.2" x14ac:dyDescent="0.25">
      <c r="B241" s="109"/>
      <c r="C241" s="9">
        <v>2019</v>
      </c>
      <c r="D241" s="9">
        <v>1</v>
      </c>
      <c r="E241" s="9">
        <v>1</v>
      </c>
      <c r="F241" s="9">
        <v>1</v>
      </c>
      <c r="G241" s="9">
        <v>1</v>
      </c>
      <c r="H241" s="9">
        <v>1</v>
      </c>
      <c r="I241" s="9">
        <v>1</v>
      </c>
      <c r="J241" s="9">
        <v>1</v>
      </c>
      <c r="K241" s="9">
        <v>0</v>
      </c>
      <c r="L241" s="9">
        <v>0</v>
      </c>
      <c r="M241" s="9">
        <v>1</v>
      </c>
      <c r="N241" s="9">
        <v>0</v>
      </c>
      <c r="O241" s="9">
        <v>1</v>
      </c>
      <c r="P241" s="9">
        <v>0</v>
      </c>
      <c r="Q241" s="9">
        <v>1</v>
      </c>
      <c r="R241" s="9">
        <v>1</v>
      </c>
      <c r="S241" s="9">
        <v>1</v>
      </c>
      <c r="T241" s="9">
        <v>0</v>
      </c>
      <c r="U241" s="9">
        <v>0</v>
      </c>
      <c r="V241" s="9">
        <v>1</v>
      </c>
      <c r="W241" s="9">
        <v>0</v>
      </c>
      <c r="X241" s="1">
        <f t="shared" si="2"/>
        <v>13</v>
      </c>
    </row>
    <row r="242" spans="2:24" ht="13.2" x14ac:dyDescent="0.25">
      <c r="B242" s="109"/>
      <c r="C242" s="9">
        <v>2020</v>
      </c>
      <c r="D242" s="9">
        <v>1</v>
      </c>
      <c r="E242" s="9">
        <v>1</v>
      </c>
      <c r="F242" s="9">
        <v>1</v>
      </c>
      <c r="G242" s="9">
        <v>1</v>
      </c>
      <c r="H242" s="9">
        <v>1</v>
      </c>
      <c r="I242" s="9">
        <v>1</v>
      </c>
      <c r="J242" s="9">
        <v>0</v>
      </c>
      <c r="K242" s="9">
        <v>0</v>
      </c>
      <c r="L242" s="9">
        <v>0</v>
      </c>
      <c r="M242" s="9">
        <v>1</v>
      </c>
      <c r="N242" s="9">
        <v>1</v>
      </c>
      <c r="O242" s="9">
        <v>0</v>
      </c>
      <c r="P242" s="9">
        <v>1</v>
      </c>
      <c r="Q242" s="9">
        <v>1</v>
      </c>
      <c r="R242" s="9">
        <v>0</v>
      </c>
      <c r="S242" s="9">
        <v>0</v>
      </c>
      <c r="T242" s="9">
        <v>1</v>
      </c>
      <c r="U242" s="9">
        <v>1</v>
      </c>
      <c r="V242" s="9">
        <v>0</v>
      </c>
      <c r="W242" s="9">
        <v>0</v>
      </c>
      <c r="X242" s="1">
        <f t="shared" si="2"/>
        <v>12</v>
      </c>
    </row>
    <row r="243" spans="2:24" ht="13.2" x14ac:dyDescent="0.25">
      <c r="B243" s="109"/>
      <c r="C243" s="9">
        <v>2021</v>
      </c>
      <c r="D243" s="9">
        <v>1</v>
      </c>
      <c r="E243" s="9">
        <v>1</v>
      </c>
      <c r="F243" s="9">
        <v>1</v>
      </c>
      <c r="G243" s="9">
        <v>1</v>
      </c>
      <c r="H243" s="9">
        <v>1</v>
      </c>
      <c r="I243" s="9">
        <v>1</v>
      </c>
      <c r="J243" s="9">
        <v>0</v>
      </c>
      <c r="K243" s="9">
        <v>1</v>
      </c>
      <c r="L243" s="9">
        <v>1</v>
      </c>
      <c r="M243" s="9">
        <v>0</v>
      </c>
      <c r="N243" s="9">
        <v>1</v>
      </c>
      <c r="O243" s="9">
        <v>0</v>
      </c>
      <c r="P243" s="9">
        <v>0</v>
      </c>
      <c r="Q243" s="9">
        <v>0</v>
      </c>
      <c r="R243" s="9">
        <v>0</v>
      </c>
      <c r="S243" s="9">
        <v>1</v>
      </c>
      <c r="T243" s="9">
        <v>1</v>
      </c>
      <c r="U243" s="9">
        <v>0</v>
      </c>
      <c r="V243" s="9">
        <v>1</v>
      </c>
      <c r="W243" s="9">
        <v>0</v>
      </c>
      <c r="X243" s="1">
        <f t="shared" si="2"/>
        <v>12</v>
      </c>
    </row>
    <row r="244" spans="2:24" ht="13.2" x14ac:dyDescent="0.25">
      <c r="B244" s="110"/>
      <c r="C244" s="9">
        <v>2022</v>
      </c>
      <c r="D244" s="9">
        <v>1</v>
      </c>
      <c r="E244" s="9">
        <v>1</v>
      </c>
      <c r="F244" s="9">
        <v>1</v>
      </c>
      <c r="G244" s="9">
        <v>1</v>
      </c>
      <c r="H244" s="9">
        <v>1</v>
      </c>
      <c r="I244" s="9">
        <v>1</v>
      </c>
      <c r="J244" s="9">
        <v>0</v>
      </c>
      <c r="K244" s="9">
        <v>0</v>
      </c>
      <c r="L244" s="9">
        <v>1</v>
      </c>
      <c r="M244" s="9">
        <v>1</v>
      </c>
      <c r="N244" s="9">
        <v>0</v>
      </c>
      <c r="O244" s="9">
        <v>0</v>
      </c>
      <c r="P244" s="9">
        <v>1</v>
      </c>
      <c r="Q244" s="9">
        <v>0</v>
      </c>
      <c r="R244" s="9">
        <v>0</v>
      </c>
      <c r="S244" s="9">
        <v>1</v>
      </c>
      <c r="T244" s="9">
        <v>0</v>
      </c>
      <c r="U244" s="9">
        <v>1</v>
      </c>
      <c r="V244" s="9">
        <v>0</v>
      </c>
      <c r="W244" s="9">
        <v>1</v>
      </c>
      <c r="X244" s="1">
        <f t="shared" si="2"/>
        <v>12</v>
      </c>
    </row>
    <row r="245" spans="2:24" ht="13.2" x14ac:dyDescent="0.25">
      <c r="B245" s="108" t="s">
        <v>177</v>
      </c>
      <c r="C245" s="9">
        <v>2018</v>
      </c>
      <c r="D245" s="9">
        <v>1</v>
      </c>
      <c r="E245" s="9">
        <v>1</v>
      </c>
      <c r="F245" s="9">
        <v>1</v>
      </c>
      <c r="G245" s="9">
        <v>1</v>
      </c>
      <c r="H245" s="9">
        <v>1</v>
      </c>
      <c r="I245" s="9">
        <v>1</v>
      </c>
      <c r="J245" s="9">
        <v>0</v>
      </c>
      <c r="K245" s="9">
        <v>1</v>
      </c>
      <c r="L245" s="9">
        <v>0</v>
      </c>
      <c r="M245" s="9">
        <v>1</v>
      </c>
      <c r="N245" s="9">
        <v>1</v>
      </c>
      <c r="O245" s="9">
        <v>0</v>
      </c>
      <c r="P245" s="9">
        <v>0</v>
      </c>
      <c r="Q245" s="9">
        <v>1</v>
      </c>
      <c r="R245" s="9">
        <v>1</v>
      </c>
      <c r="S245" s="9">
        <v>1</v>
      </c>
      <c r="T245" s="9">
        <v>1</v>
      </c>
      <c r="U245" s="9">
        <v>1</v>
      </c>
      <c r="V245" s="9">
        <v>1</v>
      </c>
      <c r="W245" s="9">
        <v>1</v>
      </c>
      <c r="X245" s="1">
        <f t="shared" si="2"/>
        <v>16</v>
      </c>
    </row>
    <row r="246" spans="2:24" ht="13.2" x14ac:dyDescent="0.25">
      <c r="B246" s="109"/>
      <c r="C246" s="9">
        <v>2019</v>
      </c>
      <c r="D246" s="9">
        <v>1</v>
      </c>
      <c r="E246" s="9">
        <v>1</v>
      </c>
      <c r="F246" s="9">
        <v>1</v>
      </c>
      <c r="G246" s="9">
        <v>1</v>
      </c>
      <c r="H246" s="9">
        <v>1</v>
      </c>
      <c r="I246" s="9">
        <v>1</v>
      </c>
      <c r="J246" s="9">
        <v>0</v>
      </c>
      <c r="K246" s="9">
        <v>1</v>
      </c>
      <c r="L246" s="9">
        <v>1</v>
      </c>
      <c r="M246" s="9">
        <v>1</v>
      </c>
      <c r="N246" s="9">
        <v>1</v>
      </c>
      <c r="O246" s="9">
        <v>0</v>
      </c>
      <c r="P246" s="9">
        <v>1</v>
      </c>
      <c r="Q246" s="9">
        <v>1</v>
      </c>
      <c r="R246" s="9">
        <v>1</v>
      </c>
      <c r="S246" s="9">
        <v>1</v>
      </c>
      <c r="T246" s="9">
        <v>0</v>
      </c>
      <c r="U246" s="9">
        <v>1</v>
      </c>
      <c r="V246" s="9">
        <v>0</v>
      </c>
      <c r="W246" s="9">
        <v>1</v>
      </c>
      <c r="X246" s="1">
        <f t="shared" si="2"/>
        <v>16</v>
      </c>
    </row>
    <row r="247" spans="2:24" ht="13.2" x14ac:dyDescent="0.25">
      <c r="B247" s="109"/>
      <c r="C247" s="9">
        <v>2020</v>
      </c>
      <c r="D247" s="9">
        <v>1</v>
      </c>
      <c r="E247" s="9">
        <v>1</v>
      </c>
      <c r="F247" s="9">
        <v>1</v>
      </c>
      <c r="G247" s="9">
        <v>1</v>
      </c>
      <c r="H247" s="9">
        <v>1</v>
      </c>
      <c r="I247" s="9">
        <v>1</v>
      </c>
      <c r="J247" s="9">
        <v>1</v>
      </c>
      <c r="K247" s="9">
        <v>0</v>
      </c>
      <c r="L247" s="9">
        <v>0</v>
      </c>
      <c r="M247" s="9">
        <v>0</v>
      </c>
      <c r="N247" s="9">
        <v>0</v>
      </c>
      <c r="O247" s="9">
        <v>1</v>
      </c>
      <c r="P247" s="9">
        <v>0</v>
      </c>
      <c r="Q247" s="9">
        <v>1</v>
      </c>
      <c r="R247" s="9">
        <v>1</v>
      </c>
      <c r="S247" s="9">
        <v>1</v>
      </c>
      <c r="T247" s="9">
        <v>0</v>
      </c>
      <c r="U247" s="9">
        <v>1</v>
      </c>
      <c r="V247" s="9">
        <v>1</v>
      </c>
      <c r="W247" s="9">
        <v>1</v>
      </c>
      <c r="X247" s="1">
        <f t="shared" si="2"/>
        <v>14</v>
      </c>
    </row>
    <row r="248" spans="2:24" ht="13.2" x14ac:dyDescent="0.25">
      <c r="B248" s="109"/>
      <c r="C248" s="9">
        <v>2021</v>
      </c>
      <c r="D248" s="9">
        <v>1</v>
      </c>
      <c r="E248" s="9">
        <v>1</v>
      </c>
      <c r="F248" s="9">
        <v>1</v>
      </c>
      <c r="G248" s="9">
        <v>1</v>
      </c>
      <c r="H248" s="9">
        <v>1</v>
      </c>
      <c r="I248" s="9">
        <v>1</v>
      </c>
      <c r="J248" s="9">
        <v>0</v>
      </c>
      <c r="K248" s="9">
        <v>0</v>
      </c>
      <c r="L248" s="9">
        <v>0</v>
      </c>
      <c r="M248" s="9">
        <v>0</v>
      </c>
      <c r="N248" s="9">
        <v>0</v>
      </c>
      <c r="O248" s="9">
        <v>1</v>
      </c>
      <c r="P248" s="9">
        <v>0</v>
      </c>
      <c r="Q248" s="9">
        <v>0</v>
      </c>
      <c r="R248" s="9">
        <v>0</v>
      </c>
      <c r="S248" s="9">
        <v>0</v>
      </c>
      <c r="T248" s="9">
        <v>0</v>
      </c>
      <c r="U248" s="9">
        <v>0</v>
      </c>
      <c r="V248" s="9">
        <v>0</v>
      </c>
      <c r="W248" s="9">
        <v>0</v>
      </c>
      <c r="X248" s="1">
        <f t="shared" si="2"/>
        <v>7</v>
      </c>
    </row>
    <row r="249" spans="2:24" ht="13.2" x14ac:dyDescent="0.25">
      <c r="B249" s="110"/>
      <c r="C249" s="9">
        <v>2022</v>
      </c>
      <c r="D249" s="9">
        <v>1</v>
      </c>
      <c r="E249" s="9">
        <v>1</v>
      </c>
      <c r="F249" s="9">
        <v>1</v>
      </c>
      <c r="G249" s="9">
        <v>1</v>
      </c>
      <c r="H249" s="9">
        <v>1</v>
      </c>
      <c r="I249" s="9">
        <v>1</v>
      </c>
      <c r="J249" s="9">
        <v>0</v>
      </c>
      <c r="K249" s="9">
        <v>1</v>
      </c>
      <c r="L249" s="9">
        <v>1</v>
      </c>
      <c r="M249" s="9">
        <v>1</v>
      </c>
      <c r="N249" s="9">
        <v>0</v>
      </c>
      <c r="O249" s="9">
        <v>0</v>
      </c>
      <c r="P249" s="9">
        <v>1</v>
      </c>
      <c r="Q249" s="9">
        <v>0</v>
      </c>
      <c r="R249" s="9">
        <v>0</v>
      </c>
      <c r="S249" s="9">
        <v>0</v>
      </c>
      <c r="T249" s="9">
        <v>0</v>
      </c>
      <c r="U249" s="9">
        <v>0</v>
      </c>
      <c r="V249" s="9">
        <v>0</v>
      </c>
      <c r="W249" s="9">
        <v>0</v>
      </c>
      <c r="X249" s="1">
        <f t="shared" si="2"/>
        <v>10</v>
      </c>
    </row>
    <row r="250" spans="2:24" ht="13.2" x14ac:dyDescent="0.25">
      <c r="B250" s="108" t="s">
        <v>178</v>
      </c>
      <c r="C250" s="9">
        <v>2018</v>
      </c>
      <c r="D250" s="9">
        <v>1</v>
      </c>
      <c r="E250" s="9">
        <v>1</v>
      </c>
      <c r="F250" s="9">
        <v>1</v>
      </c>
      <c r="G250" s="9">
        <v>1</v>
      </c>
      <c r="H250" s="9">
        <v>1</v>
      </c>
      <c r="I250" s="9">
        <v>1</v>
      </c>
      <c r="J250" s="9">
        <v>0</v>
      </c>
      <c r="K250" s="9">
        <v>1</v>
      </c>
      <c r="L250" s="9">
        <v>1</v>
      </c>
      <c r="M250" s="9">
        <v>1</v>
      </c>
      <c r="N250" s="9">
        <v>1</v>
      </c>
      <c r="O250" s="9">
        <v>0</v>
      </c>
      <c r="P250" s="9">
        <v>0</v>
      </c>
      <c r="Q250" s="9">
        <v>0</v>
      </c>
      <c r="R250" s="9">
        <v>1</v>
      </c>
      <c r="S250" s="9">
        <v>1</v>
      </c>
      <c r="T250" s="9">
        <v>0</v>
      </c>
      <c r="U250" s="9">
        <v>0</v>
      </c>
      <c r="V250" s="9">
        <v>0</v>
      </c>
      <c r="W250" s="9">
        <v>1</v>
      </c>
      <c r="X250" s="1">
        <f t="shared" si="2"/>
        <v>13</v>
      </c>
    </row>
    <row r="251" spans="2:24" ht="13.2" x14ac:dyDescent="0.25">
      <c r="B251" s="109"/>
      <c r="C251" s="9">
        <v>2019</v>
      </c>
      <c r="D251" s="9">
        <v>1</v>
      </c>
      <c r="E251" s="9">
        <v>1</v>
      </c>
      <c r="F251" s="9">
        <v>1</v>
      </c>
      <c r="G251" s="9">
        <v>1</v>
      </c>
      <c r="H251" s="9">
        <v>1</v>
      </c>
      <c r="I251" s="9">
        <v>1</v>
      </c>
      <c r="J251" s="9">
        <v>1</v>
      </c>
      <c r="K251" s="9">
        <v>1</v>
      </c>
      <c r="L251" s="9">
        <v>1</v>
      </c>
      <c r="M251" s="9">
        <v>1</v>
      </c>
      <c r="N251" s="9">
        <v>1</v>
      </c>
      <c r="O251" s="9">
        <v>1</v>
      </c>
      <c r="P251" s="9">
        <v>1</v>
      </c>
      <c r="Q251" s="9">
        <v>0</v>
      </c>
      <c r="R251" s="9">
        <v>0</v>
      </c>
      <c r="S251" s="9">
        <v>1</v>
      </c>
      <c r="T251" s="9">
        <v>0</v>
      </c>
      <c r="U251" s="9">
        <v>1</v>
      </c>
      <c r="V251" s="9">
        <v>0</v>
      </c>
      <c r="W251" s="9">
        <v>1</v>
      </c>
      <c r="X251" s="1">
        <f t="shared" si="2"/>
        <v>16</v>
      </c>
    </row>
    <row r="252" spans="2:24" ht="13.2" x14ac:dyDescent="0.25">
      <c r="B252" s="109"/>
      <c r="C252" s="9">
        <v>2020</v>
      </c>
      <c r="D252" s="9">
        <v>1</v>
      </c>
      <c r="E252" s="9">
        <v>1</v>
      </c>
      <c r="F252" s="9">
        <v>1</v>
      </c>
      <c r="G252" s="9">
        <v>1</v>
      </c>
      <c r="H252" s="9">
        <v>1</v>
      </c>
      <c r="I252" s="9">
        <v>1</v>
      </c>
      <c r="J252" s="9">
        <v>0</v>
      </c>
      <c r="K252" s="9">
        <v>1</v>
      </c>
      <c r="L252" s="9">
        <v>0</v>
      </c>
      <c r="M252" s="9">
        <v>1</v>
      </c>
      <c r="N252" s="9">
        <v>0</v>
      </c>
      <c r="O252" s="9">
        <v>0</v>
      </c>
      <c r="P252" s="9">
        <v>0</v>
      </c>
      <c r="Q252" s="9">
        <v>1</v>
      </c>
      <c r="R252" s="9">
        <v>1</v>
      </c>
      <c r="S252" s="9">
        <v>0</v>
      </c>
      <c r="T252" s="9">
        <v>1</v>
      </c>
      <c r="U252" s="9">
        <v>1</v>
      </c>
      <c r="V252" s="9">
        <v>0</v>
      </c>
      <c r="W252" s="9">
        <v>0</v>
      </c>
      <c r="X252" s="1">
        <f t="shared" si="2"/>
        <v>12</v>
      </c>
    </row>
    <row r="253" spans="2:24" ht="13.2" x14ac:dyDescent="0.25">
      <c r="B253" s="109"/>
      <c r="C253" s="9">
        <v>2021</v>
      </c>
      <c r="D253" s="9">
        <v>1</v>
      </c>
      <c r="E253" s="9">
        <v>1</v>
      </c>
      <c r="F253" s="9">
        <v>1</v>
      </c>
      <c r="G253" s="9">
        <v>1</v>
      </c>
      <c r="H253" s="9">
        <v>1</v>
      </c>
      <c r="I253" s="9">
        <v>1</v>
      </c>
      <c r="J253" s="9">
        <v>0</v>
      </c>
      <c r="K253" s="9">
        <v>1</v>
      </c>
      <c r="L253" s="9">
        <v>1</v>
      </c>
      <c r="M253" s="9">
        <v>1</v>
      </c>
      <c r="N253" s="9">
        <v>1</v>
      </c>
      <c r="O253" s="9">
        <v>1</v>
      </c>
      <c r="P253" s="9">
        <v>0</v>
      </c>
      <c r="Q253" s="9">
        <v>1</v>
      </c>
      <c r="R253" s="9">
        <v>0</v>
      </c>
      <c r="S253" s="9">
        <v>0</v>
      </c>
      <c r="T253" s="9">
        <v>0</v>
      </c>
      <c r="U253" s="9">
        <v>0</v>
      </c>
      <c r="V253" s="9">
        <v>1</v>
      </c>
      <c r="W253" s="9">
        <v>0</v>
      </c>
      <c r="X253" s="1">
        <f t="shared" si="2"/>
        <v>13</v>
      </c>
    </row>
    <row r="254" spans="2:24" ht="13.2" x14ac:dyDescent="0.25">
      <c r="B254" s="110"/>
      <c r="C254" s="9">
        <v>2022</v>
      </c>
      <c r="D254" s="9">
        <v>1</v>
      </c>
      <c r="E254" s="9">
        <v>1</v>
      </c>
      <c r="F254" s="9">
        <v>1</v>
      </c>
      <c r="G254" s="9">
        <v>1</v>
      </c>
      <c r="H254" s="9">
        <v>1</v>
      </c>
      <c r="I254" s="9">
        <v>1</v>
      </c>
      <c r="J254" s="9">
        <v>1</v>
      </c>
      <c r="K254" s="9">
        <v>1</v>
      </c>
      <c r="L254" s="9">
        <v>1</v>
      </c>
      <c r="M254" s="9">
        <v>1</v>
      </c>
      <c r="N254" s="9">
        <v>1</v>
      </c>
      <c r="O254" s="9">
        <v>0</v>
      </c>
      <c r="P254" s="9">
        <v>0</v>
      </c>
      <c r="Q254" s="9">
        <v>0</v>
      </c>
      <c r="R254" s="9">
        <v>1</v>
      </c>
      <c r="S254" s="9">
        <v>0</v>
      </c>
      <c r="T254" s="9">
        <v>1</v>
      </c>
      <c r="U254" s="9">
        <v>1</v>
      </c>
      <c r="V254" s="9">
        <v>1</v>
      </c>
      <c r="W254" s="9">
        <v>1</v>
      </c>
      <c r="X254" s="1">
        <f t="shared" si="2"/>
        <v>16</v>
      </c>
    </row>
    <row r="255" spans="2:24" ht="13.2" x14ac:dyDescent="0.25">
      <c r="B255" s="108" t="s">
        <v>179</v>
      </c>
      <c r="C255" s="9">
        <v>2018</v>
      </c>
      <c r="D255" s="9">
        <v>1</v>
      </c>
      <c r="E255" s="9">
        <v>1</v>
      </c>
      <c r="F255" s="9">
        <v>1</v>
      </c>
      <c r="G255" s="9">
        <v>1</v>
      </c>
      <c r="H255" s="9">
        <v>1</v>
      </c>
      <c r="I255" s="9">
        <v>1</v>
      </c>
      <c r="J255" s="9">
        <v>1</v>
      </c>
      <c r="K255" s="9">
        <v>1</v>
      </c>
      <c r="L255" s="9">
        <v>1</v>
      </c>
      <c r="M255" s="9">
        <v>0</v>
      </c>
      <c r="N255" s="9">
        <v>1</v>
      </c>
      <c r="O255" s="9">
        <v>0</v>
      </c>
      <c r="P255" s="9">
        <v>1</v>
      </c>
      <c r="Q255" s="9">
        <v>0</v>
      </c>
      <c r="R255" s="9">
        <v>0</v>
      </c>
      <c r="S255" s="9">
        <v>0</v>
      </c>
      <c r="T255" s="9">
        <v>1</v>
      </c>
      <c r="U255" s="9">
        <v>0</v>
      </c>
      <c r="V255" s="9">
        <v>1</v>
      </c>
      <c r="W255" s="9">
        <v>0</v>
      </c>
      <c r="X255" s="1">
        <f t="shared" si="2"/>
        <v>13</v>
      </c>
    </row>
    <row r="256" spans="2:24" ht="13.2" x14ac:dyDescent="0.25">
      <c r="B256" s="109"/>
      <c r="C256" s="9">
        <v>2019</v>
      </c>
      <c r="D256" s="9">
        <v>1</v>
      </c>
      <c r="E256" s="9">
        <v>1</v>
      </c>
      <c r="F256" s="9">
        <v>1</v>
      </c>
      <c r="G256" s="9">
        <v>1</v>
      </c>
      <c r="H256" s="9">
        <v>1</v>
      </c>
      <c r="I256" s="9">
        <v>1</v>
      </c>
      <c r="J256" s="9">
        <v>1</v>
      </c>
      <c r="K256" s="9">
        <v>1</v>
      </c>
      <c r="L256" s="9">
        <v>1</v>
      </c>
      <c r="M256" s="9">
        <v>1</v>
      </c>
      <c r="N256" s="9">
        <v>0</v>
      </c>
      <c r="O256" s="9">
        <v>0</v>
      </c>
      <c r="P256" s="9">
        <v>0</v>
      </c>
      <c r="Q256" s="9">
        <v>0</v>
      </c>
      <c r="R256" s="9">
        <v>0</v>
      </c>
      <c r="S256" s="9">
        <v>1</v>
      </c>
      <c r="T256" s="9">
        <v>0</v>
      </c>
      <c r="U256" s="9">
        <v>1</v>
      </c>
      <c r="V256" s="9">
        <v>1</v>
      </c>
      <c r="W256" s="9">
        <v>0</v>
      </c>
      <c r="X256" s="1">
        <f t="shared" si="2"/>
        <v>13</v>
      </c>
    </row>
    <row r="257" spans="2:24" ht="13.2" x14ac:dyDescent="0.25">
      <c r="B257" s="109"/>
      <c r="C257" s="9">
        <v>2020</v>
      </c>
      <c r="D257" s="9">
        <v>1</v>
      </c>
      <c r="E257" s="9">
        <v>1</v>
      </c>
      <c r="F257" s="9">
        <v>1</v>
      </c>
      <c r="G257" s="9">
        <v>1</v>
      </c>
      <c r="H257" s="9">
        <v>1</v>
      </c>
      <c r="I257" s="9">
        <v>1</v>
      </c>
      <c r="J257" s="9">
        <v>1</v>
      </c>
      <c r="K257" s="9">
        <v>1</v>
      </c>
      <c r="L257" s="9">
        <v>1</v>
      </c>
      <c r="M257" s="9">
        <v>0</v>
      </c>
      <c r="N257" s="9">
        <v>1</v>
      </c>
      <c r="O257" s="9">
        <v>1</v>
      </c>
      <c r="P257" s="9">
        <v>0</v>
      </c>
      <c r="Q257" s="9">
        <v>0</v>
      </c>
      <c r="R257" s="9">
        <v>0</v>
      </c>
      <c r="S257" s="9">
        <v>0</v>
      </c>
      <c r="T257" s="9">
        <v>0</v>
      </c>
      <c r="U257" s="9">
        <v>1</v>
      </c>
      <c r="V257" s="9">
        <v>0</v>
      </c>
      <c r="W257" s="9">
        <v>1</v>
      </c>
      <c r="X257" s="1">
        <f t="shared" si="2"/>
        <v>13</v>
      </c>
    </row>
    <row r="258" spans="2:24" ht="13.2" x14ac:dyDescent="0.25">
      <c r="B258" s="109"/>
      <c r="C258" s="9">
        <v>2021</v>
      </c>
      <c r="D258" s="9">
        <v>1</v>
      </c>
      <c r="E258" s="9">
        <v>1</v>
      </c>
      <c r="F258" s="9">
        <v>1</v>
      </c>
      <c r="G258" s="9">
        <v>1</v>
      </c>
      <c r="H258" s="9">
        <v>1</v>
      </c>
      <c r="I258" s="9">
        <v>1</v>
      </c>
      <c r="J258" s="9">
        <v>1</v>
      </c>
      <c r="K258" s="9">
        <v>1</v>
      </c>
      <c r="L258" s="9">
        <v>0</v>
      </c>
      <c r="M258" s="9">
        <v>0</v>
      </c>
      <c r="N258" s="9">
        <v>1</v>
      </c>
      <c r="O258" s="9">
        <v>1</v>
      </c>
      <c r="P258" s="9">
        <v>0</v>
      </c>
      <c r="Q258" s="9">
        <v>0</v>
      </c>
      <c r="R258" s="9">
        <v>1</v>
      </c>
      <c r="S258" s="9">
        <v>0</v>
      </c>
      <c r="T258" s="9">
        <v>1</v>
      </c>
      <c r="U258" s="9">
        <v>0</v>
      </c>
      <c r="V258" s="9">
        <v>1</v>
      </c>
      <c r="W258" s="9">
        <v>1</v>
      </c>
      <c r="X258" s="1">
        <f t="shared" si="2"/>
        <v>14</v>
      </c>
    </row>
    <row r="259" spans="2:24" ht="13.2" x14ac:dyDescent="0.25">
      <c r="B259" s="110"/>
      <c r="C259" s="9">
        <v>2022</v>
      </c>
      <c r="D259" s="9">
        <v>1</v>
      </c>
      <c r="E259" s="9">
        <v>1</v>
      </c>
      <c r="F259" s="9">
        <v>1</v>
      </c>
      <c r="G259" s="9">
        <v>1</v>
      </c>
      <c r="H259" s="9">
        <v>1</v>
      </c>
      <c r="I259" s="9">
        <v>1</v>
      </c>
      <c r="J259" s="9">
        <v>0</v>
      </c>
      <c r="K259" s="9">
        <v>0</v>
      </c>
      <c r="L259" s="9">
        <v>0</v>
      </c>
      <c r="M259" s="9">
        <v>1</v>
      </c>
      <c r="N259" s="9">
        <v>1</v>
      </c>
      <c r="O259" s="9">
        <v>1</v>
      </c>
      <c r="P259" s="9">
        <v>1</v>
      </c>
      <c r="Q259" s="9">
        <v>1</v>
      </c>
      <c r="R259" s="9">
        <v>1</v>
      </c>
      <c r="S259" s="9">
        <v>1</v>
      </c>
      <c r="T259" s="9">
        <v>0</v>
      </c>
      <c r="U259" s="9">
        <v>0</v>
      </c>
      <c r="V259" s="9">
        <v>0</v>
      </c>
      <c r="W259" s="9">
        <v>0</v>
      </c>
      <c r="X259" s="1">
        <f t="shared" si="2"/>
        <v>13</v>
      </c>
    </row>
    <row r="260" spans="2:24" ht="13.2" x14ac:dyDescent="0.25">
      <c r="B260" s="108" t="s">
        <v>180</v>
      </c>
      <c r="C260" s="9">
        <v>2018</v>
      </c>
      <c r="D260" s="9">
        <v>1</v>
      </c>
      <c r="E260" s="9">
        <v>1</v>
      </c>
      <c r="F260" s="9">
        <v>1</v>
      </c>
      <c r="G260" s="9">
        <v>1</v>
      </c>
      <c r="H260" s="9">
        <v>1</v>
      </c>
      <c r="I260" s="9">
        <v>1</v>
      </c>
      <c r="J260" s="9">
        <v>0</v>
      </c>
      <c r="K260" s="9">
        <v>0</v>
      </c>
      <c r="L260" s="9">
        <v>1</v>
      </c>
      <c r="M260" s="9">
        <v>1</v>
      </c>
      <c r="N260" s="9">
        <v>1</v>
      </c>
      <c r="O260" s="9">
        <v>1</v>
      </c>
      <c r="P260" s="9">
        <v>0</v>
      </c>
      <c r="Q260" s="9">
        <v>1</v>
      </c>
      <c r="R260" s="9">
        <v>1</v>
      </c>
      <c r="S260" s="9">
        <v>1</v>
      </c>
      <c r="T260" s="9">
        <v>0</v>
      </c>
      <c r="U260" s="9">
        <v>1</v>
      </c>
      <c r="V260" s="9">
        <v>0</v>
      </c>
      <c r="W260" s="9">
        <v>1</v>
      </c>
      <c r="X260" s="1">
        <f t="shared" si="2"/>
        <v>15</v>
      </c>
    </row>
    <row r="261" spans="2:24" ht="13.2" x14ac:dyDescent="0.25">
      <c r="B261" s="109"/>
      <c r="C261" s="9">
        <v>2019</v>
      </c>
      <c r="D261" s="9">
        <v>1</v>
      </c>
      <c r="E261" s="9">
        <v>1</v>
      </c>
      <c r="F261" s="9">
        <v>1</v>
      </c>
      <c r="G261" s="9">
        <v>1</v>
      </c>
      <c r="H261" s="9">
        <v>1</v>
      </c>
      <c r="I261" s="9">
        <v>1</v>
      </c>
      <c r="J261" s="9">
        <v>0</v>
      </c>
      <c r="K261" s="9">
        <v>0</v>
      </c>
      <c r="L261" s="9">
        <v>1</v>
      </c>
      <c r="M261" s="9">
        <v>0</v>
      </c>
      <c r="N261" s="9">
        <v>1</v>
      </c>
      <c r="O261" s="9">
        <v>0</v>
      </c>
      <c r="P261" s="9">
        <v>0</v>
      </c>
      <c r="Q261" s="9">
        <v>1</v>
      </c>
      <c r="R261" s="9">
        <v>0</v>
      </c>
      <c r="S261" s="9">
        <v>0</v>
      </c>
      <c r="T261" s="9">
        <v>1</v>
      </c>
      <c r="U261" s="9">
        <v>1</v>
      </c>
      <c r="V261" s="9">
        <v>0</v>
      </c>
      <c r="W261" s="9">
        <v>1</v>
      </c>
      <c r="X261" s="1">
        <f t="shared" si="2"/>
        <v>12</v>
      </c>
    </row>
    <row r="262" spans="2:24" ht="13.2" x14ac:dyDescent="0.25">
      <c r="B262" s="109"/>
      <c r="C262" s="9">
        <v>2020</v>
      </c>
      <c r="D262" s="9">
        <v>1</v>
      </c>
      <c r="E262" s="9">
        <v>1</v>
      </c>
      <c r="F262" s="9">
        <v>1</v>
      </c>
      <c r="G262" s="9">
        <v>1</v>
      </c>
      <c r="H262" s="9">
        <v>1</v>
      </c>
      <c r="I262" s="9">
        <v>1</v>
      </c>
      <c r="J262" s="9">
        <v>0</v>
      </c>
      <c r="K262" s="9">
        <v>0</v>
      </c>
      <c r="L262" s="9">
        <v>1</v>
      </c>
      <c r="M262" s="9">
        <v>1</v>
      </c>
      <c r="N262" s="9">
        <v>1</v>
      </c>
      <c r="O262" s="9">
        <v>0</v>
      </c>
      <c r="P262" s="9">
        <v>1</v>
      </c>
      <c r="Q262" s="9">
        <v>1</v>
      </c>
      <c r="R262" s="9">
        <v>1</v>
      </c>
      <c r="S262" s="9">
        <v>0</v>
      </c>
      <c r="T262" s="9">
        <v>0</v>
      </c>
      <c r="U262" s="9">
        <v>0</v>
      </c>
      <c r="V262" s="9">
        <v>0</v>
      </c>
      <c r="W262" s="9">
        <v>0</v>
      </c>
      <c r="X262" s="1">
        <f t="shared" si="2"/>
        <v>12</v>
      </c>
    </row>
    <row r="263" spans="2:24" ht="13.2" x14ac:dyDescent="0.25">
      <c r="B263" s="109"/>
      <c r="C263" s="9">
        <v>2021</v>
      </c>
      <c r="D263" s="9">
        <v>1</v>
      </c>
      <c r="E263" s="9">
        <v>1</v>
      </c>
      <c r="F263" s="9">
        <v>1</v>
      </c>
      <c r="G263" s="9">
        <v>1</v>
      </c>
      <c r="H263" s="9">
        <v>1</v>
      </c>
      <c r="I263" s="9">
        <v>1</v>
      </c>
      <c r="J263" s="9">
        <v>0</v>
      </c>
      <c r="K263" s="9">
        <v>1</v>
      </c>
      <c r="L263" s="9">
        <v>1</v>
      </c>
      <c r="M263" s="9">
        <v>0</v>
      </c>
      <c r="N263" s="9">
        <v>0</v>
      </c>
      <c r="O263" s="9">
        <v>1</v>
      </c>
      <c r="P263" s="9">
        <v>0</v>
      </c>
      <c r="Q263" s="9">
        <v>1</v>
      </c>
      <c r="R263" s="9">
        <v>1</v>
      </c>
      <c r="S263" s="9">
        <v>1</v>
      </c>
      <c r="T263" s="9">
        <v>0</v>
      </c>
      <c r="U263" s="9">
        <v>0</v>
      </c>
      <c r="V263" s="9">
        <v>1</v>
      </c>
      <c r="W263" s="9">
        <v>0</v>
      </c>
      <c r="X263" s="1">
        <f t="shared" si="2"/>
        <v>13</v>
      </c>
    </row>
    <row r="264" spans="2:24" ht="13.2" x14ac:dyDescent="0.25">
      <c r="B264" s="110"/>
      <c r="C264" s="9">
        <v>2022</v>
      </c>
      <c r="D264" s="9">
        <v>1</v>
      </c>
      <c r="E264" s="9">
        <v>1</v>
      </c>
      <c r="F264" s="9">
        <v>1</v>
      </c>
      <c r="G264" s="9">
        <v>1</v>
      </c>
      <c r="H264" s="9">
        <v>1</v>
      </c>
      <c r="I264" s="9">
        <v>1</v>
      </c>
      <c r="J264" s="9">
        <v>1</v>
      </c>
      <c r="K264" s="9">
        <v>1</v>
      </c>
      <c r="L264" s="9">
        <v>0</v>
      </c>
      <c r="M264" s="9">
        <v>0</v>
      </c>
      <c r="N264" s="9">
        <v>1</v>
      </c>
      <c r="O264" s="9">
        <v>0</v>
      </c>
      <c r="P264" s="9">
        <v>1</v>
      </c>
      <c r="Q264" s="9">
        <v>0</v>
      </c>
      <c r="R264" s="9">
        <v>0</v>
      </c>
      <c r="S264" s="9">
        <v>0</v>
      </c>
      <c r="T264" s="9">
        <v>0</v>
      </c>
      <c r="U264" s="9">
        <v>0</v>
      </c>
      <c r="V264" s="9">
        <v>0</v>
      </c>
      <c r="W264" s="9">
        <v>0</v>
      </c>
      <c r="X264" s="1">
        <f t="shared" si="2"/>
        <v>10</v>
      </c>
    </row>
    <row r="265" spans="2:24" ht="13.2" x14ac:dyDescent="0.25">
      <c r="B265" s="108" t="s">
        <v>181</v>
      </c>
      <c r="C265" s="9">
        <v>2018</v>
      </c>
      <c r="D265" s="9">
        <v>1</v>
      </c>
      <c r="E265" s="9">
        <v>1</v>
      </c>
      <c r="F265" s="9">
        <v>1</v>
      </c>
      <c r="G265" s="9">
        <v>1</v>
      </c>
      <c r="H265" s="9">
        <v>1</v>
      </c>
      <c r="I265" s="9">
        <v>1</v>
      </c>
      <c r="J265" s="9">
        <v>0</v>
      </c>
      <c r="K265" s="9">
        <v>1</v>
      </c>
      <c r="L265" s="9">
        <v>1</v>
      </c>
      <c r="M265" s="9">
        <v>1</v>
      </c>
      <c r="N265" s="9">
        <v>0</v>
      </c>
      <c r="O265" s="9">
        <v>1</v>
      </c>
      <c r="P265" s="9">
        <v>1</v>
      </c>
      <c r="Q265" s="9">
        <v>1</v>
      </c>
      <c r="R265" s="9">
        <v>0</v>
      </c>
      <c r="S265" s="9">
        <v>0</v>
      </c>
      <c r="T265" s="9">
        <v>0</v>
      </c>
      <c r="U265" s="9">
        <v>0</v>
      </c>
      <c r="V265" s="9">
        <v>0</v>
      </c>
      <c r="W265" s="9">
        <v>0</v>
      </c>
      <c r="X265" s="1">
        <f t="shared" si="2"/>
        <v>12</v>
      </c>
    </row>
    <row r="266" spans="2:24" ht="13.2" x14ac:dyDescent="0.25">
      <c r="B266" s="109"/>
      <c r="C266" s="9">
        <v>2019</v>
      </c>
      <c r="D266" s="9">
        <v>1</v>
      </c>
      <c r="E266" s="9">
        <v>1</v>
      </c>
      <c r="F266" s="9">
        <v>1</v>
      </c>
      <c r="G266" s="9">
        <v>1</v>
      </c>
      <c r="H266" s="9">
        <v>1</v>
      </c>
      <c r="I266" s="9">
        <v>1</v>
      </c>
      <c r="J266" s="9">
        <v>0</v>
      </c>
      <c r="K266" s="9">
        <v>1</v>
      </c>
      <c r="L266" s="9">
        <v>1</v>
      </c>
      <c r="M266" s="9">
        <v>0</v>
      </c>
      <c r="N266" s="9">
        <v>1</v>
      </c>
      <c r="O266" s="9">
        <v>1</v>
      </c>
      <c r="P266" s="9">
        <v>0</v>
      </c>
      <c r="Q266" s="9">
        <v>0</v>
      </c>
      <c r="R266" s="9">
        <v>0</v>
      </c>
      <c r="S266" s="9">
        <v>1</v>
      </c>
      <c r="T266" s="9">
        <v>1</v>
      </c>
      <c r="U266" s="9">
        <v>0</v>
      </c>
      <c r="V266" s="9">
        <v>0</v>
      </c>
      <c r="W266" s="9">
        <v>1</v>
      </c>
      <c r="X266" s="1">
        <f t="shared" si="2"/>
        <v>13</v>
      </c>
    </row>
    <row r="267" spans="2:24" ht="13.2" x14ac:dyDescent="0.25">
      <c r="B267" s="109"/>
      <c r="C267" s="9">
        <v>2020</v>
      </c>
      <c r="D267" s="9">
        <v>1</v>
      </c>
      <c r="E267" s="9">
        <v>1</v>
      </c>
      <c r="F267" s="9">
        <v>1</v>
      </c>
      <c r="G267" s="9">
        <v>1</v>
      </c>
      <c r="H267" s="9">
        <v>1</v>
      </c>
      <c r="I267" s="9">
        <v>1</v>
      </c>
      <c r="J267" s="9">
        <v>0</v>
      </c>
      <c r="K267" s="9">
        <v>0</v>
      </c>
      <c r="L267" s="9">
        <v>1</v>
      </c>
      <c r="M267" s="9">
        <v>1</v>
      </c>
      <c r="N267" s="9">
        <v>0</v>
      </c>
      <c r="O267" s="9">
        <v>1</v>
      </c>
      <c r="P267" s="9">
        <v>1</v>
      </c>
      <c r="Q267" s="9">
        <v>1</v>
      </c>
      <c r="R267" s="9">
        <v>0</v>
      </c>
      <c r="S267" s="9">
        <v>1</v>
      </c>
      <c r="T267" s="9">
        <v>1</v>
      </c>
      <c r="U267" s="9">
        <v>1</v>
      </c>
      <c r="V267" s="9">
        <v>1</v>
      </c>
      <c r="W267" s="9">
        <v>1</v>
      </c>
      <c r="X267" s="1">
        <f t="shared" si="2"/>
        <v>16</v>
      </c>
    </row>
    <row r="268" spans="2:24" ht="13.2" x14ac:dyDescent="0.25">
      <c r="B268" s="109"/>
      <c r="C268" s="9">
        <v>2021</v>
      </c>
      <c r="D268" s="9">
        <v>1</v>
      </c>
      <c r="E268" s="9">
        <v>1</v>
      </c>
      <c r="F268" s="9">
        <v>1</v>
      </c>
      <c r="G268" s="9">
        <v>1</v>
      </c>
      <c r="H268" s="9">
        <v>1</v>
      </c>
      <c r="I268" s="9">
        <v>1</v>
      </c>
      <c r="J268" s="9">
        <v>0</v>
      </c>
      <c r="K268" s="9">
        <v>1</v>
      </c>
      <c r="L268" s="9">
        <v>0</v>
      </c>
      <c r="M268" s="9">
        <v>0</v>
      </c>
      <c r="N268" s="9">
        <v>1</v>
      </c>
      <c r="O268" s="9">
        <v>0</v>
      </c>
      <c r="P268" s="9">
        <v>1</v>
      </c>
      <c r="Q268" s="9">
        <v>0</v>
      </c>
      <c r="R268" s="9">
        <v>1</v>
      </c>
      <c r="S268" s="9">
        <v>0</v>
      </c>
      <c r="T268" s="9">
        <v>0</v>
      </c>
      <c r="U268" s="9">
        <v>0</v>
      </c>
      <c r="V268" s="9">
        <v>1</v>
      </c>
      <c r="W268" s="9">
        <v>1</v>
      </c>
      <c r="X268" s="1">
        <f t="shared" si="2"/>
        <v>12</v>
      </c>
    </row>
    <row r="269" spans="2:24" ht="13.2" x14ac:dyDescent="0.25">
      <c r="B269" s="110"/>
      <c r="C269" s="9">
        <v>2022</v>
      </c>
      <c r="D269" s="9">
        <v>1</v>
      </c>
      <c r="E269" s="9">
        <v>1</v>
      </c>
      <c r="F269" s="9">
        <v>1</v>
      </c>
      <c r="G269" s="9">
        <v>1</v>
      </c>
      <c r="H269" s="9">
        <v>1</v>
      </c>
      <c r="I269" s="9">
        <v>1</v>
      </c>
      <c r="J269" s="9">
        <v>0</v>
      </c>
      <c r="K269" s="9">
        <v>1</v>
      </c>
      <c r="L269" s="9">
        <v>1</v>
      </c>
      <c r="M269" s="9">
        <v>1</v>
      </c>
      <c r="N269" s="9">
        <v>1</v>
      </c>
      <c r="O269" s="9">
        <v>1</v>
      </c>
      <c r="P269" s="9">
        <v>1</v>
      </c>
      <c r="Q269" s="9">
        <v>0</v>
      </c>
      <c r="R269" s="9">
        <v>1</v>
      </c>
      <c r="S269" s="9">
        <v>0</v>
      </c>
      <c r="T269" s="9">
        <v>1</v>
      </c>
      <c r="U269" s="9">
        <v>1</v>
      </c>
      <c r="V269" s="9">
        <v>0</v>
      </c>
      <c r="W269" s="9">
        <v>0</v>
      </c>
      <c r="X269" s="1">
        <f t="shared" si="2"/>
        <v>15</v>
      </c>
    </row>
    <row r="270" spans="2:24" ht="13.2" x14ac:dyDescent="0.25">
      <c r="B270" s="108" t="s">
        <v>182</v>
      </c>
      <c r="C270" s="9">
        <v>2018</v>
      </c>
      <c r="D270" s="9">
        <v>1</v>
      </c>
      <c r="E270" s="9">
        <v>1</v>
      </c>
      <c r="F270" s="9">
        <v>1</v>
      </c>
      <c r="G270" s="9">
        <v>1</v>
      </c>
      <c r="H270" s="9">
        <v>1</v>
      </c>
      <c r="I270" s="9">
        <v>1</v>
      </c>
      <c r="J270" s="9">
        <v>0</v>
      </c>
      <c r="K270" s="9">
        <v>1</v>
      </c>
      <c r="L270" s="9">
        <v>0</v>
      </c>
      <c r="M270" s="9">
        <v>1</v>
      </c>
      <c r="N270" s="9">
        <v>0</v>
      </c>
      <c r="O270" s="9">
        <v>0</v>
      </c>
      <c r="P270" s="9">
        <v>1</v>
      </c>
      <c r="Q270" s="9">
        <v>0</v>
      </c>
      <c r="R270" s="9">
        <v>0</v>
      </c>
      <c r="S270" s="9">
        <v>1</v>
      </c>
      <c r="T270" s="9">
        <v>1</v>
      </c>
      <c r="U270" s="9">
        <v>1</v>
      </c>
      <c r="V270" s="9">
        <v>1</v>
      </c>
      <c r="W270" s="9">
        <v>0</v>
      </c>
      <c r="X270" s="1">
        <f t="shared" si="2"/>
        <v>13</v>
      </c>
    </row>
    <row r="271" spans="2:24" ht="13.2" x14ac:dyDescent="0.25">
      <c r="B271" s="109"/>
      <c r="C271" s="9">
        <v>2019</v>
      </c>
      <c r="D271" s="9">
        <v>1</v>
      </c>
      <c r="E271" s="9">
        <v>1</v>
      </c>
      <c r="F271" s="9">
        <v>1</v>
      </c>
      <c r="G271" s="9">
        <v>1</v>
      </c>
      <c r="H271" s="9">
        <v>1</v>
      </c>
      <c r="I271" s="9">
        <v>1</v>
      </c>
      <c r="J271" s="9">
        <v>1</v>
      </c>
      <c r="K271" s="9">
        <v>0</v>
      </c>
      <c r="L271" s="9">
        <v>0</v>
      </c>
      <c r="M271" s="9">
        <v>0</v>
      </c>
      <c r="N271" s="9">
        <v>1</v>
      </c>
      <c r="O271" s="9">
        <v>0</v>
      </c>
      <c r="P271" s="9">
        <v>0</v>
      </c>
      <c r="Q271" s="9">
        <v>1</v>
      </c>
      <c r="R271" s="9">
        <v>0</v>
      </c>
      <c r="S271" s="9">
        <v>1</v>
      </c>
      <c r="T271" s="9">
        <v>1</v>
      </c>
      <c r="U271" s="9">
        <v>0</v>
      </c>
      <c r="V271" s="9">
        <v>1</v>
      </c>
      <c r="W271" s="9">
        <v>1</v>
      </c>
      <c r="X271" s="1">
        <f t="shared" si="2"/>
        <v>13</v>
      </c>
    </row>
    <row r="272" spans="2:24" ht="13.2" x14ac:dyDescent="0.25">
      <c r="B272" s="109"/>
      <c r="C272" s="9">
        <v>2020</v>
      </c>
      <c r="D272" s="9">
        <v>1</v>
      </c>
      <c r="E272" s="9">
        <v>1</v>
      </c>
      <c r="F272" s="9">
        <v>1</v>
      </c>
      <c r="G272" s="9">
        <v>1</v>
      </c>
      <c r="H272" s="9">
        <v>1</v>
      </c>
      <c r="I272" s="9">
        <v>1</v>
      </c>
      <c r="J272" s="9">
        <v>1</v>
      </c>
      <c r="K272" s="9">
        <v>0</v>
      </c>
      <c r="L272" s="9">
        <v>0</v>
      </c>
      <c r="M272" s="9">
        <v>1</v>
      </c>
      <c r="N272" s="9">
        <v>0</v>
      </c>
      <c r="O272" s="9">
        <v>1</v>
      </c>
      <c r="P272" s="9">
        <v>1</v>
      </c>
      <c r="Q272" s="9">
        <v>0</v>
      </c>
      <c r="R272" s="9">
        <v>0</v>
      </c>
      <c r="S272" s="9">
        <v>0</v>
      </c>
      <c r="T272" s="9">
        <v>0</v>
      </c>
      <c r="U272" s="9">
        <v>0</v>
      </c>
      <c r="V272" s="9">
        <v>1</v>
      </c>
      <c r="W272" s="9">
        <v>1</v>
      </c>
      <c r="X272" s="1">
        <f t="shared" si="2"/>
        <v>12</v>
      </c>
    </row>
    <row r="273" spans="2:24" ht="13.2" x14ac:dyDescent="0.25">
      <c r="B273" s="109"/>
      <c r="C273" s="9">
        <v>2021</v>
      </c>
      <c r="D273" s="9">
        <v>1</v>
      </c>
      <c r="E273" s="9">
        <v>1</v>
      </c>
      <c r="F273" s="9">
        <v>1</v>
      </c>
      <c r="G273" s="9">
        <v>1</v>
      </c>
      <c r="H273" s="9">
        <v>1</v>
      </c>
      <c r="I273" s="9">
        <v>1</v>
      </c>
      <c r="J273" s="9">
        <v>1</v>
      </c>
      <c r="K273" s="9">
        <v>1</v>
      </c>
      <c r="L273" s="9">
        <v>0</v>
      </c>
      <c r="M273" s="9">
        <v>1</v>
      </c>
      <c r="N273" s="9">
        <v>1</v>
      </c>
      <c r="O273" s="9">
        <v>0</v>
      </c>
      <c r="P273" s="9">
        <v>0</v>
      </c>
      <c r="Q273" s="9">
        <v>0</v>
      </c>
      <c r="R273" s="9">
        <v>1</v>
      </c>
      <c r="S273" s="9">
        <v>1</v>
      </c>
      <c r="T273" s="9">
        <v>0</v>
      </c>
      <c r="U273" s="9">
        <v>0</v>
      </c>
      <c r="V273" s="9">
        <v>1</v>
      </c>
      <c r="W273" s="9">
        <v>1</v>
      </c>
      <c r="X273" s="1">
        <f t="shared" si="2"/>
        <v>14</v>
      </c>
    </row>
    <row r="274" spans="2:24" ht="13.2" x14ac:dyDescent="0.25">
      <c r="B274" s="110"/>
      <c r="C274" s="9">
        <v>2022</v>
      </c>
      <c r="D274" s="9">
        <v>1</v>
      </c>
      <c r="E274" s="9">
        <v>1</v>
      </c>
      <c r="F274" s="9">
        <v>1</v>
      </c>
      <c r="G274" s="9">
        <v>1</v>
      </c>
      <c r="H274" s="9">
        <v>1</v>
      </c>
      <c r="I274" s="9">
        <v>1</v>
      </c>
      <c r="J274" s="9">
        <v>0</v>
      </c>
      <c r="K274" s="9">
        <v>1</v>
      </c>
      <c r="L274" s="9">
        <v>0</v>
      </c>
      <c r="M274" s="9">
        <v>1</v>
      </c>
      <c r="N274" s="9">
        <v>0</v>
      </c>
      <c r="O274" s="9">
        <v>0</v>
      </c>
      <c r="P274" s="9">
        <v>0</v>
      </c>
      <c r="Q274" s="9">
        <v>0</v>
      </c>
      <c r="R274" s="9">
        <v>1</v>
      </c>
      <c r="S274" s="9">
        <v>0</v>
      </c>
      <c r="T274" s="9">
        <v>1</v>
      </c>
      <c r="U274" s="9">
        <v>1</v>
      </c>
      <c r="V274" s="9">
        <v>1</v>
      </c>
      <c r="W274" s="9">
        <v>0</v>
      </c>
      <c r="X274" s="1">
        <f t="shared" si="2"/>
        <v>12</v>
      </c>
    </row>
    <row r="275" spans="2:24" ht="13.2" x14ac:dyDescent="0.25">
      <c r="B275" s="108" t="s">
        <v>183</v>
      </c>
      <c r="C275" s="9">
        <v>2018</v>
      </c>
      <c r="D275" s="9">
        <v>1</v>
      </c>
      <c r="E275" s="9">
        <v>1</v>
      </c>
      <c r="F275" s="9">
        <v>1</v>
      </c>
      <c r="G275" s="9">
        <v>1</v>
      </c>
      <c r="H275" s="9">
        <v>1</v>
      </c>
      <c r="I275" s="9">
        <v>1</v>
      </c>
      <c r="J275" s="9">
        <v>1</v>
      </c>
      <c r="K275" s="9">
        <v>1</v>
      </c>
      <c r="L275" s="9">
        <v>1</v>
      </c>
      <c r="M275" s="9">
        <v>0</v>
      </c>
      <c r="N275" s="9">
        <v>0</v>
      </c>
      <c r="O275" s="9">
        <v>0</v>
      </c>
      <c r="P275" s="9">
        <v>0</v>
      </c>
      <c r="Q275" s="9">
        <v>0</v>
      </c>
      <c r="R275" s="9">
        <v>1</v>
      </c>
      <c r="S275" s="9">
        <v>1</v>
      </c>
      <c r="T275" s="9">
        <v>0</v>
      </c>
      <c r="U275" s="9">
        <v>0</v>
      </c>
      <c r="V275" s="9">
        <v>1</v>
      </c>
      <c r="W275" s="9">
        <v>1</v>
      </c>
      <c r="X275" s="1">
        <f t="shared" si="2"/>
        <v>13</v>
      </c>
    </row>
    <row r="276" spans="2:24" ht="13.2" x14ac:dyDescent="0.25">
      <c r="B276" s="109"/>
      <c r="C276" s="9">
        <v>2019</v>
      </c>
      <c r="D276" s="9">
        <v>1</v>
      </c>
      <c r="E276" s="9">
        <v>1</v>
      </c>
      <c r="F276" s="9">
        <v>1</v>
      </c>
      <c r="G276" s="9">
        <v>1</v>
      </c>
      <c r="H276" s="9">
        <v>1</v>
      </c>
      <c r="I276" s="9">
        <v>1</v>
      </c>
      <c r="J276" s="9">
        <v>0</v>
      </c>
      <c r="K276" s="9">
        <v>1</v>
      </c>
      <c r="L276" s="9">
        <v>0</v>
      </c>
      <c r="M276" s="9">
        <v>1</v>
      </c>
      <c r="N276" s="9">
        <v>1</v>
      </c>
      <c r="O276" s="9">
        <v>0</v>
      </c>
      <c r="P276" s="9">
        <v>0</v>
      </c>
      <c r="Q276" s="9">
        <v>1</v>
      </c>
      <c r="R276" s="9">
        <v>1</v>
      </c>
      <c r="S276" s="9">
        <v>1</v>
      </c>
      <c r="T276" s="9">
        <v>0</v>
      </c>
      <c r="U276" s="9">
        <v>0</v>
      </c>
      <c r="V276" s="9">
        <v>1</v>
      </c>
      <c r="W276" s="9">
        <v>0</v>
      </c>
      <c r="X276" s="1">
        <f t="shared" si="2"/>
        <v>13</v>
      </c>
    </row>
    <row r="277" spans="2:24" ht="13.2" x14ac:dyDescent="0.25">
      <c r="B277" s="109"/>
      <c r="C277" s="9">
        <v>2020</v>
      </c>
      <c r="D277" s="9">
        <v>1</v>
      </c>
      <c r="E277" s="9">
        <v>1</v>
      </c>
      <c r="F277" s="9">
        <v>1</v>
      </c>
      <c r="G277" s="9">
        <v>1</v>
      </c>
      <c r="H277" s="9">
        <v>1</v>
      </c>
      <c r="I277" s="9">
        <v>1</v>
      </c>
      <c r="J277" s="9">
        <v>0</v>
      </c>
      <c r="K277" s="9">
        <v>1</v>
      </c>
      <c r="L277" s="9">
        <v>0</v>
      </c>
      <c r="M277" s="9">
        <v>0</v>
      </c>
      <c r="N277" s="9">
        <v>1</v>
      </c>
      <c r="O277" s="9">
        <v>0</v>
      </c>
      <c r="P277" s="9">
        <v>1</v>
      </c>
      <c r="Q277" s="9">
        <v>0</v>
      </c>
      <c r="R277" s="9">
        <v>0</v>
      </c>
      <c r="S277" s="9">
        <v>0</v>
      </c>
      <c r="T277" s="9">
        <v>1</v>
      </c>
      <c r="U277" s="9">
        <v>1</v>
      </c>
      <c r="V277" s="9">
        <v>0</v>
      </c>
      <c r="W277" s="9">
        <v>0</v>
      </c>
      <c r="X277" s="1">
        <f t="shared" si="2"/>
        <v>11</v>
      </c>
    </row>
    <row r="278" spans="2:24" ht="13.2" x14ac:dyDescent="0.25">
      <c r="B278" s="109"/>
      <c r="C278" s="9">
        <v>2021</v>
      </c>
      <c r="D278" s="9">
        <v>1</v>
      </c>
      <c r="E278" s="9">
        <v>1</v>
      </c>
      <c r="F278" s="9">
        <v>1</v>
      </c>
      <c r="G278" s="9">
        <v>1</v>
      </c>
      <c r="H278" s="9">
        <v>1</v>
      </c>
      <c r="I278" s="9">
        <v>1</v>
      </c>
      <c r="J278" s="9">
        <v>0</v>
      </c>
      <c r="K278" s="9">
        <v>1</v>
      </c>
      <c r="L278" s="9">
        <v>0</v>
      </c>
      <c r="M278" s="9">
        <v>0</v>
      </c>
      <c r="N278" s="9">
        <v>0</v>
      </c>
      <c r="O278" s="9">
        <v>0</v>
      </c>
      <c r="P278" s="9">
        <v>0</v>
      </c>
      <c r="Q278" s="9">
        <v>1</v>
      </c>
      <c r="R278" s="9">
        <v>1</v>
      </c>
      <c r="S278" s="9">
        <v>1</v>
      </c>
      <c r="T278" s="9">
        <v>0</v>
      </c>
      <c r="U278" s="9">
        <v>1</v>
      </c>
      <c r="V278" s="9">
        <v>1</v>
      </c>
      <c r="W278" s="9">
        <v>1</v>
      </c>
      <c r="X278" s="1">
        <f t="shared" si="2"/>
        <v>13</v>
      </c>
    </row>
    <row r="279" spans="2:24" ht="13.2" x14ac:dyDescent="0.25">
      <c r="B279" s="110"/>
      <c r="C279" s="9">
        <v>2022</v>
      </c>
      <c r="D279" s="9">
        <v>1</v>
      </c>
      <c r="E279" s="9">
        <v>1</v>
      </c>
      <c r="F279" s="9">
        <v>1</v>
      </c>
      <c r="G279" s="9">
        <v>1</v>
      </c>
      <c r="H279" s="9">
        <v>1</v>
      </c>
      <c r="I279" s="9">
        <v>1</v>
      </c>
      <c r="J279" s="9">
        <v>0</v>
      </c>
      <c r="K279" s="9">
        <v>0</v>
      </c>
      <c r="L279" s="9">
        <v>1</v>
      </c>
      <c r="M279" s="9">
        <v>1</v>
      </c>
      <c r="N279" s="9">
        <v>0</v>
      </c>
      <c r="O279" s="9">
        <v>0</v>
      </c>
      <c r="P279" s="9">
        <v>1</v>
      </c>
      <c r="Q279" s="9">
        <v>0</v>
      </c>
      <c r="R279" s="9">
        <v>0</v>
      </c>
      <c r="S279" s="9">
        <v>1</v>
      </c>
      <c r="T279" s="9">
        <v>1</v>
      </c>
      <c r="U279" s="9">
        <v>0</v>
      </c>
      <c r="V279" s="9">
        <v>1</v>
      </c>
      <c r="W279" s="9">
        <v>0</v>
      </c>
      <c r="X279" s="1">
        <f t="shared" si="2"/>
        <v>12</v>
      </c>
    </row>
    <row r="280" spans="2:24" ht="13.2" x14ac:dyDescent="0.25">
      <c r="B280" s="108" t="s">
        <v>184</v>
      </c>
      <c r="C280" s="9">
        <v>2018</v>
      </c>
      <c r="D280" s="9">
        <v>1</v>
      </c>
      <c r="E280" s="9">
        <v>1</v>
      </c>
      <c r="F280" s="9">
        <v>1</v>
      </c>
      <c r="G280" s="9">
        <v>1</v>
      </c>
      <c r="H280" s="9">
        <v>1</v>
      </c>
      <c r="I280" s="9">
        <v>1</v>
      </c>
      <c r="J280" s="9">
        <v>1</v>
      </c>
      <c r="K280" s="9">
        <v>1</v>
      </c>
      <c r="L280" s="9">
        <v>0</v>
      </c>
      <c r="M280" s="9">
        <v>0</v>
      </c>
      <c r="N280" s="9">
        <v>0</v>
      </c>
      <c r="O280" s="9">
        <v>0</v>
      </c>
      <c r="P280" s="9">
        <v>1</v>
      </c>
      <c r="Q280" s="9">
        <v>0</v>
      </c>
      <c r="R280" s="9">
        <v>1</v>
      </c>
      <c r="S280" s="9">
        <v>0</v>
      </c>
      <c r="T280" s="9">
        <v>1</v>
      </c>
      <c r="U280" s="9">
        <v>1</v>
      </c>
      <c r="V280" s="9">
        <v>1</v>
      </c>
      <c r="W280" s="9">
        <v>1</v>
      </c>
      <c r="X280" s="1">
        <f t="shared" si="2"/>
        <v>14</v>
      </c>
    </row>
    <row r="281" spans="2:24" ht="13.2" x14ac:dyDescent="0.25">
      <c r="B281" s="109"/>
      <c r="C281" s="9">
        <v>2019</v>
      </c>
      <c r="D281" s="9">
        <v>1</v>
      </c>
      <c r="E281" s="9">
        <v>1</v>
      </c>
      <c r="F281" s="9">
        <v>1</v>
      </c>
      <c r="G281" s="9">
        <v>1</v>
      </c>
      <c r="H281" s="9">
        <v>1</v>
      </c>
      <c r="I281" s="9">
        <v>1</v>
      </c>
      <c r="J281" s="9">
        <v>0</v>
      </c>
      <c r="K281" s="9">
        <v>0</v>
      </c>
      <c r="L281" s="9">
        <v>0</v>
      </c>
      <c r="M281" s="9">
        <v>1</v>
      </c>
      <c r="N281" s="9">
        <v>0</v>
      </c>
      <c r="O281" s="9">
        <v>0</v>
      </c>
      <c r="P281" s="9">
        <v>0</v>
      </c>
      <c r="Q281" s="9">
        <v>1</v>
      </c>
      <c r="R281" s="9">
        <v>0</v>
      </c>
      <c r="S281" s="9">
        <v>1</v>
      </c>
      <c r="T281" s="9">
        <v>1</v>
      </c>
      <c r="U281" s="9">
        <v>0</v>
      </c>
      <c r="V281" s="9">
        <v>1</v>
      </c>
      <c r="W281" s="9">
        <v>0</v>
      </c>
      <c r="X281" s="1">
        <f t="shared" si="2"/>
        <v>11</v>
      </c>
    </row>
    <row r="282" spans="2:24" ht="13.2" x14ac:dyDescent="0.25">
      <c r="B282" s="109"/>
      <c r="C282" s="9">
        <v>2020</v>
      </c>
      <c r="D282" s="9">
        <v>1</v>
      </c>
      <c r="E282" s="9">
        <v>1</v>
      </c>
      <c r="F282" s="9">
        <v>1</v>
      </c>
      <c r="G282" s="9">
        <v>1</v>
      </c>
      <c r="H282" s="9">
        <v>1</v>
      </c>
      <c r="I282" s="9">
        <v>1</v>
      </c>
      <c r="J282" s="9">
        <v>1</v>
      </c>
      <c r="K282" s="9">
        <v>1</v>
      </c>
      <c r="L282" s="9">
        <v>1</v>
      </c>
      <c r="M282" s="9">
        <v>1</v>
      </c>
      <c r="N282" s="9">
        <v>0</v>
      </c>
      <c r="O282" s="9">
        <v>1</v>
      </c>
      <c r="P282" s="9">
        <v>0</v>
      </c>
      <c r="Q282" s="9">
        <v>1</v>
      </c>
      <c r="R282" s="9">
        <v>1</v>
      </c>
      <c r="S282" s="9">
        <v>0</v>
      </c>
      <c r="T282" s="9">
        <v>0</v>
      </c>
      <c r="U282" s="9">
        <v>1</v>
      </c>
      <c r="V282" s="9">
        <v>0</v>
      </c>
      <c r="W282" s="9">
        <v>0</v>
      </c>
      <c r="X282" s="1">
        <f t="shared" si="2"/>
        <v>14</v>
      </c>
    </row>
    <row r="283" spans="2:24" ht="13.2" x14ac:dyDescent="0.25">
      <c r="B283" s="109"/>
      <c r="C283" s="9">
        <v>2021</v>
      </c>
      <c r="D283" s="9">
        <v>1</v>
      </c>
      <c r="E283" s="9">
        <v>1</v>
      </c>
      <c r="F283" s="9">
        <v>1</v>
      </c>
      <c r="G283" s="9">
        <v>1</v>
      </c>
      <c r="H283" s="9">
        <v>1</v>
      </c>
      <c r="I283" s="9">
        <v>1</v>
      </c>
      <c r="J283" s="9">
        <v>1</v>
      </c>
      <c r="K283" s="9">
        <v>1</v>
      </c>
      <c r="L283" s="9">
        <v>1</v>
      </c>
      <c r="M283" s="9">
        <v>0</v>
      </c>
      <c r="N283" s="9">
        <v>1</v>
      </c>
      <c r="O283" s="9">
        <v>1</v>
      </c>
      <c r="P283" s="9">
        <v>1</v>
      </c>
      <c r="Q283" s="9">
        <v>0</v>
      </c>
      <c r="R283" s="9">
        <v>0</v>
      </c>
      <c r="S283" s="9">
        <v>1</v>
      </c>
      <c r="T283" s="9">
        <v>1</v>
      </c>
      <c r="U283" s="9">
        <v>1</v>
      </c>
      <c r="V283" s="9">
        <v>0</v>
      </c>
      <c r="W283" s="9">
        <v>0</v>
      </c>
      <c r="X283" s="1">
        <f t="shared" si="2"/>
        <v>15</v>
      </c>
    </row>
    <row r="284" spans="2:24" ht="13.2" x14ac:dyDescent="0.25">
      <c r="B284" s="110"/>
      <c r="C284" s="9">
        <v>2022</v>
      </c>
      <c r="D284" s="9">
        <v>1</v>
      </c>
      <c r="E284" s="9">
        <v>1</v>
      </c>
      <c r="F284" s="9">
        <v>1</v>
      </c>
      <c r="G284" s="9">
        <v>1</v>
      </c>
      <c r="H284" s="9">
        <v>1</v>
      </c>
      <c r="I284" s="9">
        <v>1</v>
      </c>
      <c r="J284" s="9">
        <v>0</v>
      </c>
      <c r="K284" s="9">
        <v>1</v>
      </c>
      <c r="L284" s="9">
        <v>0</v>
      </c>
      <c r="M284" s="9">
        <v>1</v>
      </c>
      <c r="N284" s="9">
        <v>1</v>
      </c>
      <c r="O284" s="9">
        <v>1</v>
      </c>
      <c r="P284" s="9">
        <v>1</v>
      </c>
      <c r="Q284" s="9">
        <v>1</v>
      </c>
      <c r="R284" s="9">
        <v>0</v>
      </c>
      <c r="S284" s="9">
        <v>0</v>
      </c>
      <c r="T284" s="9">
        <v>1</v>
      </c>
      <c r="U284" s="9">
        <v>0</v>
      </c>
      <c r="V284" s="9">
        <v>0</v>
      </c>
      <c r="W284" s="9">
        <v>1</v>
      </c>
      <c r="X284" s="1">
        <f t="shared" si="2"/>
        <v>14</v>
      </c>
    </row>
    <row r="285" spans="2:24" ht="13.2" x14ac:dyDescent="0.25">
      <c r="B285" s="108" t="s">
        <v>185</v>
      </c>
      <c r="C285" s="9">
        <v>2018</v>
      </c>
      <c r="D285" s="9">
        <v>1</v>
      </c>
      <c r="E285" s="9">
        <v>1</v>
      </c>
      <c r="F285" s="9">
        <v>1</v>
      </c>
      <c r="G285" s="9">
        <v>1</v>
      </c>
      <c r="H285" s="9">
        <v>1</v>
      </c>
      <c r="I285" s="9">
        <v>1</v>
      </c>
      <c r="J285" s="9">
        <v>1</v>
      </c>
      <c r="K285" s="9">
        <v>1</v>
      </c>
      <c r="L285" s="9">
        <v>0</v>
      </c>
      <c r="M285" s="9">
        <v>0</v>
      </c>
      <c r="N285" s="9">
        <v>1</v>
      </c>
      <c r="O285" s="9">
        <v>1</v>
      </c>
      <c r="P285" s="9">
        <v>1</v>
      </c>
      <c r="Q285" s="9">
        <v>1</v>
      </c>
      <c r="R285" s="9">
        <v>1</v>
      </c>
      <c r="S285" s="9">
        <v>0</v>
      </c>
      <c r="T285" s="9">
        <v>1</v>
      </c>
      <c r="U285" s="9">
        <v>0</v>
      </c>
      <c r="V285" s="9">
        <v>0</v>
      </c>
      <c r="W285" s="9">
        <v>0</v>
      </c>
      <c r="X285" s="1">
        <f t="shared" si="2"/>
        <v>14</v>
      </c>
    </row>
    <row r="286" spans="2:24" ht="13.2" x14ac:dyDescent="0.25">
      <c r="B286" s="109"/>
      <c r="C286" s="9">
        <v>2019</v>
      </c>
      <c r="D286" s="9">
        <v>1</v>
      </c>
      <c r="E286" s="9">
        <v>1</v>
      </c>
      <c r="F286" s="9">
        <v>1</v>
      </c>
      <c r="G286" s="9">
        <v>1</v>
      </c>
      <c r="H286" s="9">
        <v>1</v>
      </c>
      <c r="I286" s="9">
        <v>1</v>
      </c>
      <c r="J286" s="9">
        <v>1</v>
      </c>
      <c r="K286" s="9">
        <v>0</v>
      </c>
      <c r="L286" s="9">
        <v>1</v>
      </c>
      <c r="M286" s="9">
        <v>1</v>
      </c>
      <c r="N286" s="9">
        <v>0</v>
      </c>
      <c r="O286" s="9">
        <v>0</v>
      </c>
      <c r="P286" s="9">
        <v>1</v>
      </c>
      <c r="Q286" s="9">
        <v>1</v>
      </c>
      <c r="R286" s="9">
        <v>1</v>
      </c>
      <c r="S286" s="9">
        <v>0</v>
      </c>
      <c r="T286" s="9">
        <v>1</v>
      </c>
      <c r="U286" s="9">
        <v>0</v>
      </c>
      <c r="V286" s="9">
        <v>1</v>
      </c>
      <c r="W286" s="9">
        <v>1</v>
      </c>
      <c r="X286" s="1">
        <f t="shared" si="2"/>
        <v>15</v>
      </c>
    </row>
    <row r="287" spans="2:24" ht="13.2" x14ac:dyDescent="0.25">
      <c r="B287" s="109"/>
      <c r="C287" s="9">
        <v>2020</v>
      </c>
      <c r="D287" s="9">
        <v>1</v>
      </c>
      <c r="E287" s="9">
        <v>1</v>
      </c>
      <c r="F287" s="9">
        <v>1</v>
      </c>
      <c r="G287" s="9">
        <v>1</v>
      </c>
      <c r="H287" s="9">
        <v>1</v>
      </c>
      <c r="I287" s="9">
        <v>1</v>
      </c>
      <c r="J287" s="9">
        <v>1</v>
      </c>
      <c r="K287" s="9">
        <v>0</v>
      </c>
      <c r="L287" s="9">
        <v>1</v>
      </c>
      <c r="M287" s="9">
        <v>1</v>
      </c>
      <c r="N287" s="9">
        <v>0</v>
      </c>
      <c r="O287" s="9">
        <v>0</v>
      </c>
      <c r="P287" s="9">
        <v>1</v>
      </c>
      <c r="Q287" s="9">
        <v>1</v>
      </c>
      <c r="R287" s="9">
        <v>0</v>
      </c>
      <c r="S287" s="9">
        <v>0</v>
      </c>
      <c r="T287" s="9">
        <v>1</v>
      </c>
      <c r="U287" s="9">
        <v>1</v>
      </c>
      <c r="V287" s="9">
        <v>1</v>
      </c>
      <c r="W287" s="9">
        <v>0</v>
      </c>
      <c r="X287" s="1">
        <f t="shared" si="2"/>
        <v>14</v>
      </c>
    </row>
    <row r="288" spans="2:24" ht="13.2" x14ac:dyDescent="0.25">
      <c r="B288" s="109"/>
      <c r="C288" s="9">
        <v>2021</v>
      </c>
      <c r="D288" s="9">
        <v>1</v>
      </c>
      <c r="E288" s="9">
        <v>1</v>
      </c>
      <c r="F288" s="9">
        <v>1</v>
      </c>
      <c r="G288" s="9">
        <v>1</v>
      </c>
      <c r="H288" s="9">
        <v>1</v>
      </c>
      <c r="I288" s="9">
        <v>1</v>
      </c>
      <c r="J288" s="9">
        <v>1</v>
      </c>
      <c r="K288" s="9">
        <v>0</v>
      </c>
      <c r="L288" s="9">
        <v>0</v>
      </c>
      <c r="M288" s="9">
        <v>1</v>
      </c>
      <c r="N288" s="9">
        <v>1</v>
      </c>
      <c r="O288" s="9">
        <v>1</v>
      </c>
      <c r="P288" s="9">
        <v>1</v>
      </c>
      <c r="Q288" s="9">
        <v>0</v>
      </c>
      <c r="R288" s="9">
        <v>1</v>
      </c>
      <c r="S288" s="9">
        <v>1</v>
      </c>
      <c r="T288" s="9">
        <v>1</v>
      </c>
      <c r="U288" s="9">
        <v>0</v>
      </c>
      <c r="V288" s="9">
        <v>0</v>
      </c>
      <c r="W288" s="9">
        <v>1</v>
      </c>
      <c r="X288" s="1">
        <f t="shared" si="2"/>
        <v>15</v>
      </c>
    </row>
    <row r="289" spans="2:24" ht="13.2" x14ac:dyDescent="0.25">
      <c r="B289" s="110"/>
      <c r="C289" s="9">
        <v>2022</v>
      </c>
      <c r="D289" s="9">
        <v>1</v>
      </c>
      <c r="E289" s="9">
        <v>1</v>
      </c>
      <c r="F289" s="9">
        <v>1</v>
      </c>
      <c r="G289" s="9">
        <v>1</v>
      </c>
      <c r="H289" s="9">
        <v>1</v>
      </c>
      <c r="I289" s="9">
        <v>1</v>
      </c>
      <c r="J289" s="9">
        <v>1</v>
      </c>
      <c r="K289" s="9">
        <v>0</v>
      </c>
      <c r="L289" s="9">
        <v>0</v>
      </c>
      <c r="M289" s="9">
        <v>1</v>
      </c>
      <c r="N289" s="9">
        <v>1</v>
      </c>
      <c r="O289" s="9">
        <v>0</v>
      </c>
      <c r="P289" s="9">
        <v>0</v>
      </c>
      <c r="Q289" s="9">
        <v>1</v>
      </c>
      <c r="R289" s="9">
        <v>0</v>
      </c>
      <c r="S289" s="9">
        <v>1</v>
      </c>
      <c r="T289" s="9">
        <v>1</v>
      </c>
      <c r="U289" s="9">
        <v>1</v>
      </c>
      <c r="V289" s="9">
        <v>1</v>
      </c>
      <c r="W289" s="9">
        <v>1</v>
      </c>
      <c r="X289" s="1">
        <f t="shared" si="2"/>
        <v>15</v>
      </c>
    </row>
    <row r="290" spans="2:24" ht="13.2" x14ac:dyDescent="0.25">
      <c r="B290" s="108" t="s">
        <v>186</v>
      </c>
      <c r="C290" s="9">
        <v>2018</v>
      </c>
      <c r="D290" s="9">
        <v>1</v>
      </c>
      <c r="E290" s="9">
        <v>1</v>
      </c>
      <c r="F290" s="9">
        <v>1</v>
      </c>
      <c r="G290" s="9">
        <v>1</v>
      </c>
      <c r="H290" s="9">
        <v>1</v>
      </c>
      <c r="I290" s="9">
        <v>1</v>
      </c>
      <c r="J290" s="9">
        <v>0</v>
      </c>
      <c r="K290" s="9">
        <v>1</v>
      </c>
      <c r="L290" s="9">
        <v>1</v>
      </c>
      <c r="M290" s="9">
        <v>0</v>
      </c>
      <c r="N290" s="9">
        <v>1</v>
      </c>
      <c r="O290" s="9">
        <v>0</v>
      </c>
      <c r="P290" s="9">
        <v>0</v>
      </c>
      <c r="Q290" s="9">
        <v>1</v>
      </c>
      <c r="R290" s="9">
        <v>0</v>
      </c>
      <c r="S290" s="9">
        <v>0</v>
      </c>
      <c r="T290" s="9">
        <v>0</v>
      </c>
      <c r="U290" s="9">
        <v>0</v>
      </c>
      <c r="V290" s="9">
        <v>0</v>
      </c>
      <c r="W290" s="9">
        <v>0</v>
      </c>
      <c r="X290" s="1">
        <f t="shared" si="2"/>
        <v>10</v>
      </c>
    </row>
    <row r="291" spans="2:24" ht="13.2" x14ac:dyDescent="0.25">
      <c r="B291" s="109"/>
      <c r="C291" s="9">
        <v>2019</v>
      </c>
      <c r="D291" s="9">
        <v>1</v>
      </c>
      <c r="E291" s="9">
        <v>1</v>
      </c>
      <c r="F291" s="9">
        <v>1</v>
      </c>
      <c r="G291" s="9">
        <v>1</v>
      </c>
      <c r="H291" s="9">
        <v>1</v>
      </c>
      <c r="I291" s="9">
        <v>1</v>
      </c>
      <c r="J291" s="9">
        <v>1</v>
      </c>
      <c r="K291" s="9">
        <v>0</v>
      </c>
      <c r="L291" s="9">
        <v>0</v>
      </c>
      <c r="M291" s="9">
        <v>0</v>
      </c>
      <c r="N291" s="9">
        <v>1</v>
      </c>
      <c r="O291" s="9">
        <v>1</v>
      </c>
      <c r="P291" s="9">
        <v>0</v>
      </c>
      <c r="Q291" s="9">
        <v>0</v>
      </c>
      <c r="R291" s="9">
        <v>0</v>
      </c>
      <c r="S291" s="9">
        <v>0</v>
      </c>
      <c r="T291" s="9">
        <v>0</v>
      </c>
      <c r="U291" s="9">
        <v>0</v>
      </c>
      <c r="V291" s="9">
        <v>0</v>
      </c>
      <c r="W291" s="9">
        <v>0</v>
      </c>
      <c r="X291" s="1">
        <f t="shared" si="2"/>
        <v>9</v>
      </c>
    </row>
    <row r="292" spans="2:24" ht="13.2" x14ac:dyDescent="0.25">
      <c r="B292" s="109"/>
      <c r="C292" s="9">
        <v>2020</v>
      </c>
      <c r="D292" s="9">
        <v>1</v>
      </c>
      <c r="E292" s="9">
        <v>1</v>
      </c>
      <c r="F292" s="9">
        <v>1</v>
      </c>
      <c r="G292" s="9">
        <v>1</v>
      </c>
      <c r="H292" s="9">
        <v>1</v>
      </c>
      <c r="I292" s="9">
        <v>1</v>
      </c>
      <c r="J292" s="9">
        <v>1</v>
      </c>
      <c r="K292" s="9">
        <v>1</v>
      </c>
      <c r="L292" s="9">
        <v>0</v>
      </c>
      <c r="M292" s="9">
        <v>0</v>
      </c>
      <c r="N292" s="9">
        <v>0</v>
      </c>
      <c r="O292" s="9">
        <v>0</v>
      </c>
      <c r="P292" s="9">
        <v>1</v>
      </c>
      <c r="Q292" s="9">
        <v>1</v>
      </c>
      <c r="R292" s="9">
        <v>1</v>
      </c>
      <c r="S292" s="9">
        <v>0</v>
      </c>
      <c r="T292" s="9">
        <v>0</v>
      </c>
      <c r="U292" s="9">
        <v>1</v>
      </c>
      <c r="V292" s="9">
        <v>0</v>
      </c>
      <c r="W292" s="9">
        <v>0</v>
      </c>
      <c r="X292" s="1">
        <f t="shared" si="2"/>
        <v>12</v>
      </c>
    </row>
    <row r="293" spans="2:24" ht="13.2" x14ac:dyDescent="0.25">
      <c r="B293" s="109"/>
      <c r="C293" s="9">
        <v>2021</v>
      </c>
      <c r="D293" s="9">
        <v>1</v>
      </c>
      <c r="E293" s="9">
        <v>1</v>
      </c>
      <c r="F293" s="9">
        <v>1</v>
      </c>
      <c r="G293" s="9">
        <v>1</v>
      </c>
      <c r="H293" s="9">
        <v>1</v>
      </c>
      <c r="I293" s="9">
        <v>1</v>
      </c>
      <c r="J293" s="9">
        <v>1</v>
      </c>
      <c r="K293" s="9">
        <v>0</v>
      </c>
      <c r="L293" s="9">
        <v>0</v>
      </c>
      <c r="M293" s="9">
        <v>0</v>
      </c>
      <c r="N293" s="9">
        <v>1</v>
      </c>
      <c r="O293" s="9">
        <v>1</v>
      </c>
      <c r="P293" s="9">
        <v>1</v>
      </c>
      <c r="Q293" s="9">
        <v>1</v>
      </c>
      <c r="R293" s="9">
        <v>1</v>
      </c>
      <c r="S293" s="9">
        <v>1</v>
      </c>
      <c r="T293" s="9">
        <v>0</v>
      </c>
      <c r="U293" s="9">
        <v>1</v>
      </c>
      <c r="V293" s="9">
        <v>0</v>
      </c>
      <c r="W293" s="9">
        <v>0</v>
      </c>
      <c r="X293" s="1">
        <f t="shared" si="2"/>
        <v>14</v>
      </c>
    </row>
    <row r="294" spans="2:24" ht="13.2" x14ac:dyDescent="0.25">
      <c r="B294" s="110"/>
      <c r="C294" s="9">
        <v>2022</v>
      </c>
      <c r="D294" s="9">
        <v>1</v>
      </c>
      <c r="E294" s="9">
        <v>1</v>
      </c>
      <c r="F294" s="9">
        <v>1</v>
      </c>
      <c r="G294" s="9">
        <v>1</v>
      </c>
      <c r="H294" s="9">
        <v>1</v>
      </c>
      <c r="I294" s="9">
        <v>1</v>
      </c>
      <c r="J294" s="9">
        <v>1</v>
      </c>
      <c r="K294" s="9">
        <v>1</v>
      </c>
      <c r="L294" s="9">
        <v>1</v>
      </c>
      <c r="M294" s="9">
        <v>1</v>
      </c>
      <c r="N294" s="9">
        <v>0</v>
      </c>
      <c r="O294" s="9">
        <v>0</v>
      </c>
      <c r="P294" s="9">
        <v>1</v>
      </c>
      <c r="Q294" s="9">
        <v>0</v>
      </c>
      <c r="R294" s="9">
        <v>1</v>
      </c>
      <c r="S294" s="9">
        <v>0</v>
      </c>
      <c r="T294" s="9">
        <v>1</v>
      </c>
      <c r="U294" s="9">
        <v>0</v>
      </c>
      <c r="V294" s="9">
        <v>0</v>
      </c>
      <c r="W294" s="9">
        <v>1</v>
      </c>
      <c r="X294" s="1">
        <f t="shared" si="2"/>
        <v>14</v>
      </c>
    </row>
    <row r="295" spans="2:24" ht="13.2" x14ac:dyDescent="0.25">
      <c r="B295" s="2"/>
      <c r="C295" s="2"/>
      <c r="D295" s="2"/>
      <c r="E295" s="2"/>
      <c r="F295" s="2"/>
      <c r="G295" s="2"/>
      <c r="H295" s="2"/>
      <c r="I295" s="2"/>
      <c r="J295" s="2"/>
      <c r="K295" s="2"/>
      <c r="L295" s="2"/>
    </row>
    <row r="296" spans="2:24" ht="13.2" x14ac:dyDescent="0.25">
      <c r="B296" s="2"/>
      <c r="C296" s="2"/>
      <c r="D296" s="2"/>
      <c r="E296" s="2"/>
      <c r="F296" s="2"/>
      <c r="G296" s="2"/>
      <c r="H296" s="2"/>
      <c r="I296" s="2"/>
      <c r="J296" s="2"/>
      <c r="K296" s="2"/>
      <c r="L296" s="2"/>
    </row>
    <row r="297" spans="2:24" ht="15.6" x14ac:dyDescent="0.25">
      <c r="B297" s="111" t="s">
        <v>6</v>
      </c>
      <c r="C297" s="107"/>
      <c r="D297" s="105" t="s">
        <v>187</v>
      </c>
      <c r="E297" s="106"/>
      <c r="F297" s="106"/>
      <c r="G297" s="106"/>
      <c r="H297" s="106"/>
      <c r="I297" s="106"/>
      <c r="J297" s="106"/>
      <c r="K297" s="106"/>
      <c r="L297" s="106"/>
      <c r="M297" s="106"/>
      <c r="N297" s="106"/>
      <c r="O297" s="106"/>
      <c r="P297" s="106"/>
      <c r="Q297" s="106"/>
      <c r="R297" s="106"/>
      <c r="S297" s="106"/>
      <c r="T297" s="106"/>
      <c r="U297" s="106"/>
      <c r="V297" s="106"/>
      <c r="W297" s="107"/>
    </row>
    <row r="298" spans="2:24" ht="13.8" x14ac:dyDescent="0.25">
      <c r="B298" s="5" t="s">
        <v>6</v>
      </c>
      <c r="C298" s="5" t="s">
        <v>7</v>
      </c>
      <c r="D298" s="12" t="s">
        <v>95</v>
      </c>
      <c r="E298" s="12" t="s">
        <v>99</v>
      </c>
      <c r="F298" s="12" t="s">
        <v>102</v>
      </c>
      <c r="G298" s="12" t="s">
        <v>105</v>
      </c>
      <c r="H298" s="12" t="s">
        <v>108</v>
      </c>
      <c r="I298" s="12" t="s">
        <v>111</v>
      </c>
      <c r="J298" s="12" t="s">
        <v>115</v>
      </c>
      <c r="K298" s="12" t="s">
        <v>118</v>
      </c>
      <c r="L298" s="12" t="s">
        <v>121</v>
      </c>
      <c r="M298" s="12" t="s">
        <v>124</v>
      </c>
      <c r="N298" s="12" t="s">
        <v>127</v>
      </c>
      <c r="O298" s="12" t="s">
        <v>130</v>
      </c>
      <c r="P298" s="12" t="s">
        <v>132</v>
      </c>
      <c r="Q298" s="12" t="s">
        <v>134</v>
      </c>
      <c r="R298" s="12" t="s">
        <v>136</v>
      </c>
      <c r="S298" s="12" t="s">
        <v>138</v>
      </c>
      <c r="T298" s="12" t="s">
        <v>141</v>
      </c>
      <c r="U298" s="12" t="s">
        <v>143</v>
      </c>
      <c r="V298" s="12" t="s">
        <v>145</v>
      </c>
      <c r="W298" s="12" t="s">
        <v>147</v>
      </c>
      <c r="X298" s="6"/>
    </row>
    <row r="299" spans="2:24" ht="13.2" x14ac:dyDescent="0.25">
      <c r="B299" s="112" t="s">
        <v>18</v>
      </c>
      <c r="C299" s="9">
        <v>2018</v>
      </c>
      <c r="D299" s="9">
        <v>1</v>
      </c>
      <c r="E299" s="9">
        <v>1</v>
      </c>
      <c r="F299" s="9">
        <v>1</v>
      </c>
      <c r="G299" s="9">
        <v>0</v>
      </c>
      <c r="H299" s="9">
        <v>0</v>
      </c>
      <c r="I299" s="9">
        <v>0</v>
      </c>
      <c r="J299" s="9">
        <v>1</v>
      </c>
      <c r="K299" s="9">
        <v>1</v>
      </c>
      <c r="L299" s="9">
        <v>1</v>
      </c>
      <c r="M299" s="9">
        <v>1</v>
      </c>
      <c r="N299" s="9">
        <v>1</v>
      </c>
      <c r="O299" s="9">
        <v>0</v>
      </c>
      <c r="P299" s="9">
        <v>0</v>
      </c>
      <c r="Q299" s="9">
        <v>1</v>
      </c>
      <c r="R299" s="9">
        <v>1</v>
      </c>
      <c r="S299" s="9">
        <v>0</v>
      </c>
      <c r="T299" s="9">
        <v>0</v>
      </c>
      <c r="U299" s="9">
        <v>0</v>
      </c>
      <c r="V299" s="9">
        <v>0</v>
      </c>
      <c r="W299" s="9">
        <v>0</v>
      </c>
      <c r="X299" s="1">
        <f t="shared" ref="X299:X428" si="3">SUM(D299:W299)</f>
        <v>10</v>
      </c>
    </row>
    <row r="300" spans="2:24" ht="13.2" x14ac:dyDescent="0.25">
      <c r="B300" s="109"/>
      <c r="C300" s="9">
        <v>2019</v>
      </c>
      <c r="D300" s="9">
        <v>1</v>
      </c>
      <c r="E300" s="9">
        <v>1</v>
      </c>
      <c r="F300" s="9">
        <v>0</v>
      </c>
      <c r="G300" s="9">
        <v>0</v>
      </c>
      <c r="H300" s="9">
        <v>1</v>
      </c>
      <c r="I300" s="9">
        <v>1</v>
      </c>
      <c r="J300" s="9">
        <v>0</v>
      </c>
      <c r="K300" s="9">
        <v>1</v>
      </c>
      <c r="L300" s="9">
        <v>0</v>
      </c>
      <c r="M300" s="9">
        <v>1</v>
      </c>
      <c r="N300" s="9">
        <v>0</v>
      </c>
      <c r="O300" s="9">
        <v>1</v>
      </c>
      <c r="P300" s="9">
        <v>1</v>
      </c>
      <c r="Q300" s="9">
        <v>1</v>
      </c>
      <c r="R300" s="9">
        <v>0</v>
      </c>
      <c r="S300" s="9">
        <v>1</v>
      </c>
      <c r="T300" s="9">
        <v>1</v>
      </c>
      <c r="U300" s="9">
        <v>1</v>
      </c>
      <c r="V300" s="9">
        <v>1</v>
      </c>
      <c r="W300" s="9">
        <v>1</v>
      </c>
      <c r="X300" s="1">
        <f t="shared" si="3"/>
        <v>14</v>
      </c>
    </row>
    <row r="301" spans="2:24" ht="13.2" x14ac:dyDescent="0.25">
      <c r="B301" s="109"/>
      <c r="C301" s="9">
        <v>2020</v>
      </c>
      <c r="D301" s="9">
        <v>1</v>
      </c>
      <c r="E301" s="9">
        <v>1</v>
      </c>
      <c r="F301" s="9">
        <v>0</v>
      </c>
      <c r="G301" s="9">
        <v>1</v>
      </c>
      <c r="H301" s="9">
        <v>1</v>
      </c>
      <c r="I301" s="9">
        <v>1</v>
      </c>
      <c r="J301" s="9">
        <v>0</v>
      </c>
      <c r="K301" s="9">
        <v>0</v>
      </c>
      <c r="L301" s="9">
        <v>1</v>
      </c>
      <c r="M301" s="9">
        <v>1</v>
      </c>
      <c r="N301" s="9">
        <v>0</v>
      </c>
      <c r="O301" s="9">
        <v>1</v>
      </c>
      <c r="P301" s="9">
        <v>1</v>
      </c>
      <c r="Q301" s="9">
        <v>1</v>
      </c>
      <c r="R301" s="9">
        <v>1</v>
      </c>
      <c r="S301" s="9">
        <v>1</v>
      </c>
      <c r="T301" s="9">
        <v>1</v>
      </c>
      <c r="U301" s="9">
        <v>1</v>
      </c>
      <c r="V301" s="9">
        <v>1</v>
      </c>
      <c r="W301" s="9">
        <v>1</v>
      </c>
      <c r="X301" s="1">
        <f t="shared" si="3"/>
        <v>16</v>
      </c>
    </row>
    <row r="302" spans="2:24" ht="13.2" x14ac:dyDescent="0.25">
      <c r="B302" s="109"/>
      <c r="C302" s="9">
        <v>2021</v>
      </c>
      <c r="D302" s="9">
        <v>1</v>
      </c>
      <c r="E302" s="9">
        <v>0</v>
      </c>
      <c r="F302" s="9">
        <v>1</v>
      </c>
      <c r="G302" s="9">
        <v>0</v>
      </c>
      <c r="H302" s="9">
        <v>1</v>
      </c>
      <c r="I302" s="9">
        <v>1</v>
      </c>
      <c r="J302" s="9">
        <v>1</v>
      </c>
      <c r="K302" s="9">
        <v>0</v>
      </c>
      <c r="L302" s="9">
        <v>1</v>
      </c>
      <c r="M302" s="9">
        <v>1</v>
      </c>
      <c r="N302" s="9">
        <v>1</v>
      </c>
      <c r="O302" s="9">
        <v>0</v>
      </c>
      <c r="P302" s="9">
        <v>0</v>
      </c>
      <c r="Q302" s="9">
        <v>1</v>
      </c>
      <c r="R302" s="9">
        <v>1</v>
      </c>
      <c r="S302" s="9">
        <v>1</v>
      </c>
      <c r="T302" s="9">
        <v>1</v>
      </c>
      <c r="U302" s="9">
        <v>0</v>
      </c>
      <c r="V302" s="9">
        <v>0</v>
      </c>
      <c r="W302" s="9">
        <v>0</v>
      </c>
      <c r="X302" s="1">
        <f t="shared" si="3"/>
        <v>12</v>
      </c>
    </row>
    <row r="303" spans="2:24" ht="13.2" x14ac:dyDescent="0.25">
      <c r="B303" s="113"/>
      <c r="C303" s="9">
        <v>2022</v>
      </c>
      <c r="D303" s="9">
        <v>1</v>
      </c>
      <c r="E303" s="9">
        <v>0</v>
      </c>
      <c r="F303" s="9">
        <v>1</v>
      </c>
      <c r="G303" s="9">
        <v>1</v>
      </c>
      <c r="H303" s="9">
        <v>1</v>
      </c>
      <c r="I303" s="9">
        <v>0</v>
      </c>
      <c r="J303" s="9">
        <v>1</v>
      </c>
      <c r="K303" s="9">
        <v>1</v>
      </c>
      <c r="L303" s="9">
        <v>0</v>
      </c>
      <c r="M303" s="9">
        <v>0</v>
      </c>
      <c r="N303" s="9">
        <v>0</v>
      </c>
      <c r="O303" s="9">
        <v>0</v>
      </c>
      <c r="P303" s="9">
        <v>1</v>
      </c>
      <c r="Q303" s="9">
        <v>1</v>
      </c>
      <c r="R303" s="9">
        <v>0</v>
      </c>
      <c r="S303" s="9">
        <v>0</v>
      </c>
      <c r="T303" s="9">
        <v>1</v>
      </c>
      <c r="U303" s="9">
        <v>1</v>
      </c>
      <c r="V303" s="9">
        <v>0</v>
      </c>
      <c r="W303" s="9">
        <v>0</v>
      </c>
      <c r="X303" s="1">
        <f t="shared" si="3"/>
        <v>10</v>
      </c>
    </row>
    <row r="304" spans="2:24" ht="13.2" x14ac:dyDescent="0.25">
      <c r="B304" s="112" t="s">
        <v>39</v>
      </c>
      <c r="C304" s="9">
        <v>2018</v>
      </c>
      <c r="D304" s="9">
        <v>1</v>
      </c>
      <c r="E304" s="9">
        <v>1</v>
      </c>
      <c r="F304" s="9">
        <v>1</v>
      </c>
      <c r="G304" s="9">
        <v>0</v>
      </c>
      <c r="H304" s="9">
        <v>1</v>
      </c>
      <c r="I304" s="9">
        <v>0</v>
      </c>
      <c r="J304" s="9">
        <v>1</v>
      </c>
      <c r="K304" s="9">
        <v>0</v>
      </c>
      <c r="L304" s="9">
        <v>0</v>
      </c>
      <c r="M304" s="9">
        <v>0</v>
      </c>
      <c r="N304" s="9">
        <v>1</v>
      </c>
      <c r="O304" s="9">
        <v>0</v>
      </c>
      <c r="P304" s="9">
        <v>1</v>
      </c>
      <c r="Q304" s="9">
        <v>0</v>
      </c>
      <c r="R304" s="9">
        <v>1</v>
      </c>
      <c r="S304" s="9">
        <v>1</v>
      </c>
      <c r="T304" s="9">
        <v>1</v>
      </c>
      <c r="U304" s="9">
        <v>1</v>
      </c>
      <c r="V304" s="9">
        <v>1</v>
      </c>
      <c r="W304" s="9">
        <v>1</v>
      </c>
      <c r="X304" s="1">
        <f t="shared" si="3"/>
        <v>13</v>
      </c>
    </row>
    <row r="305" spans="2:24" ht="13.2" x14ac:dyDescent="0.25">
      <c r="B305" s="109"/>
      <c r="C305" s="9">
        <v>2019</v>
      </c>
      <c r="D305" s="9">
        <v>1</v>
      </c>
      <c r="E305" s="9">
        <v>0</v>
      </c>
      <c r="F305" s="9">
        <v>0</v>
      </c>
      <c r="G305" s="9">
        <v>0</v>
      </c>
      <c r="H305" s="9">
        <v>0</v>
      </c>
      <c r="I305" s="9">
        <v>1</v>
      </c>
      <c r="J305" s="9">
        <v>1</v>
      </c>
      <c r="K305" s="9">
        <v>0</v>
      </c>
      <c r="L305" s="9">
        <v>0</v>
      </c>
      <c r="M305" s="9">
        <v>0</v>
      </c>
      <c r="N305" s="9">
        <v>1</v>
      </c>
      <c r="O305" s="9">
        <v>0</v>
      </c>
      <c r="P305" s="9">
        <v>0</v>
      </c>
      <c r="Q305" s="9">
        <v>1</v>
      </c>
      <c r="R305" s="9">
        <v>1</v>
      </c>
      <c r="S305" s="9">
        <v>0</v>
      </c>
      <c r="T305" s="9">
        <v>0</v>
      </c>
      <c r="U305" s="9">
        <v>0</v>
      </c>
      <c r="V305" s="9">
        <v>1</v>
      </c>
      <c r="W305" s="9">
        <v>0</v>
      </c>
      <c r="X305" s="1">
        <f t="shared" si="3"/>
        <v>7</v>
      </c>
    </row>
    <row r="306" spans="2:24" ht="13.2" x14ac:dyDescent="0.25">
      <c r="B306" s="109"/>
      <c r="C306" s="9">
        <v>2020</v>
      </c>
      <c r="D306" s="9">
        <v>1</v>
      </c>
      <c r="E306" s="9">
        <v>0</v>
      </c>
      <c r="F306" s="9">
        <v>0</v>
      </c>
      <c r="G306" s="9">
        <v>0</v>
      </c>
      <c r="H306" s="9">
        <v>1</v>
      </c>
      <c r="I306" s="9">
        <v>0</v>
      </c>
      <c r="J306" s="9">
        <v>1</v>
      </c>
      <c r="K306" s="9">
        <v>1</v>
      </c>
      <c r="L306" s="9">
        <v>0</v>
      </c>
      <c r="M306" s="9">
        <v>1</v>
      </c>
      <c r="N306" s="9">
        <v>1</v>
      </c>
      <c r="O306" s="9">
        <v>1</v>
      </c>
      <c r="P306" s="9">
        <v>0</v>
      </c>
      <c r="Q306" s="9">
        <v>1</v>
      </c>
      <c r="R306" s="9">
        <v>1</v>
      </c>
      <c r="S306" s="9">
        <v>1</v>
      </c>
      <c r="T306" s="9">
        <v>0</v>
      </c>
      <c r="U306" s="9">
        <v>1</v>
      </c>
      <c r="V306" s="9">
        <v>1</v>
      </c>
      <c r="W306" s="9">
        <v>1</v>
      </c>
      <c r="X306" s="1">
        <f t="shared" si="3"/>
        <v>13</v>
      </c>
    </row>
    <row r="307" spans="2:24" ht="13.2" x14ac:dyDescent="0.25">
      <c r="B307" s="109"/>
      <c r="C307" s="9">
        <v>2021</v>
      </c>
      <c r="D307" s="9">
        <v>1</v>
      </c>
      <c r="E307" s="9">
        <v>1</v>
      </c>
      <c r="F307" s="9">
        <v>0</v>
      </c>
      <c r="G307" s="9">
        <v>1</v>
      </c>
      <c r="H307" s="9">
        <v>0</v>
      </c>
      <c r="I307" s="9">
        <v>1</v>
      </c>
      <c r="J307" s="9">
        <v>1</v>
      </c>
      <c r="K307" s="9">
        <v>0</v>
      </c>
      <c r="L307" s="9">
        <v>0</v>
      </c>
      <c r="M307" s="9">
        <v>0</v>
      </c>
      <c r="N307" s="9">
        <v>1</v>
      </c>
      <c r="O307" s="9">
        <v>1</v>
      </c>
      <c r="P307" s="9">
        <v>1</v>
      </c>
      <c r="Q307" s="9">
        <v>0</v>
      </c>
      <c r="R307" s="9">
        <v>1</v>
      </c>
      <c r="S307" s="9">
        <v>1</v>
      </c>
      <c r="T307" s="9">
        <v>0</v>
      </c>
      <c r="U307" s="9">
        <v>1</v>
      </c>
      <c r="V307" s="9">
        <v>1</v>
      </c>
      <c r="W307" s="9">
        <v>0</v>
      </c>
      <c r="X307" s="1">
        <f t="shared" si="3"/>
        <v>12</v>
      </c>
    </row>
    <row r="308" spans="2:24" ht="13.2" x14ac:dyDescent="0.25">
      <c r="B308" s="113"/>
      <c r="C308" s="9">
        <v>2022</v>
      </c>
      <c r="D308" s="9">
        <v>1</v>
      </c>
      <c r="E308" s="9">
        <v>1</v>
      </c>
      <c r="F308" s="9">
        <v>1</v>
      </c>
      <c r="G308" s="9">
        <v>1</v>
      </c>
      <c r="H308" s="9">
        <v>0</v>
      </c>
      <c r="I308" s="9">
        <v>1</v>
      </c>
      <c r="J308" s="9">
        <v>0</v>
      </c>
      <c r="K308" s="9">
        <v>0</v>
      </c>
      <c r="L308" s="9">
        <v>1</v>
      </c>
      <c r="M308" s="9">
        <v>1</v>
      </c>
      <c r="N308" s="9">
        <v>1</v>
      </c>
      <c r="O308" s="9">
        <v>1</v>
      </c>
      <c r="P308" s="9">
        <v>0</v>
      </c>
      <c r="Q308" s="9">
        <v>1</v>
      </c>
      <c r="R308" s="9">
        <v>1</v>
      </c>
      <c r="S308" s="9">
        <v>1</v>
      </c>
      <c r="T308" s="9">
        <v>0</v>
      </c>
      <c r="U308" s="9">
        <v>0</v>
      </c>
      <c r="V308" s="9">
        <v>1</v>
      </c>
      <c r="W308" s="9">
        <v>1</v>
      </c>
      <c r="X308" s="1">
        <f t="shared" si="3"/>
        <v>14</v>
      </c>
    </row>
    <row r="309" spans="2:24" ht="13.2" x14ac:dyDescent="0.25">
      <c r="B309" s="112" t="s">
        <v>60</v>
      </c>
      <c r="C309" s="9">
        <v>2018</v>
      </c>
      <c r="D309" s="9">
        <v>1</v>
      </c>
      <c r="E309" s="9">
        <v>1</v>
      </c>
      <c r="F309" s="9">
        <v>0</v>
      </c>
      <c r="G309" s="9">
        <v>1</v>
      </c>
      <c r="H309" s="9">
        <v>1</v>
      </c>
      <c r="I309" s="9">
        <v>1</v>
      </c>
      <c r="J309" s="9">
        <v>1</v>
      </c>
      <c r="K309" s="9">
        <v>0</v>
      </c>
      <c r="L309" s="9">
        <v>1</v>
      </c>
      <c r="M309" s="9">
        <v>1</v>
      </c>
      <c r="N309" s="9">
        <v>0</v>
      </c>
      <c r="O309" s="9">
        <v>0</v>
      </c>
      <c r="P309" s="9">
        <v>0</v>
      </c>
      <c r="Q309" s="9">
        <v>1</v>
      </c>
      <c r="R309" s="9">
        <v>1</v>
      </c>
      <c r="S309" s="9">
        <v>1</v>
      </c>
      <c r="T309" s="9">
        <v>0</v>
      </c>
      <c r="U309" s="9">
        <v>0</v>
      </c>
      <c r="V309" s="9">
        <v>0</v>
      </c>
      <c r="W309" s="9">
        <v>1</v>
      </c>
      <c r="X309" s="1">
        <f t="shared" si="3"/>
        <v>12</v>
      </c>
    </row>
    <row r="310" spans="2:24" ht="13.2" x14ac:dyDescent="0.25">
      <c r="B310" s="109"/>
      <c r="C310" s="9">
        <v>2019</v>
      </c>
      <c r="D310" s="9">
        <v>1</v>
      </c>
      <c r="E310" s="9">
        <v>1</v>
      </c>
      <c r="F310" s="9">
        <v>0</v>
      </c>
      <c r="G310" s="9">
        <v>1</v>
      </c>
      <c r="H310" s="9">
        <v>1</v>
      </c>
      <c r="I310" s="9">
        <v>1</v>
      </c>
      <c r="J310" s="9">
        <v>0</v>
      </c>
      <c r="K310" s="9">
        <v>1</v>
      </c>
      <c r="L310" s="9">
        <v>1</v>
      </c>
      <c r="M310" s="9">
        <v>0</v>
      </c>
      <c r="N310" s="9">
        <v>1</v>
      </c>
      <c r="O310" s="9">
        <v>1</v>
      </c>
      <c r="P310" s="9">
        <v>1</v>
      </c>
      <c r="Q310" s="9">
        <v>0</v>
      </c>
      <c r="R310" s="9">
        <v>0</v>
      </c>
      <c r="S310" s="9">
        <v>1</v>
      </c>
      <c r="T310" s="9">
        <v>1</v>
      </c>
      <c r="U310" s="9">
        <v>1</v>
      </c>
      <c r="V310" s="9">
        <v>0</v>
      </c>
      <c r="W310" s="9">
        <v>1</v>
      </c>
      <c r="X310" s="1">
        <f t="shared" si="3"/>
        <v>14</v>
      </c>
    </row>
    <row r="311" spans="2:24" ht="13.2" x14ac:dyDescent="0.25">
      <c r="B311" s="109"/>
      <c r="C311" s="9">
        <v>2020</v>
      </c>
      <c r="D311" s="9">
        <v>1</v>
      </c>
      <c r="E311" s="9">
        <v>0</v>
      </c>
      <c r="F311" s="9">
        <v>1</v>
      </c>
      <c r="G311" s="9">
        <v>1</v>
      </c>
      <c r="H311" s="9">
        <v>1</v>
      </c>
      <c r="I311" s="9">
        <v>1</v>
      </c>
      <c r="J311" s="9">
        <v>0</v>
      </c>
      <c r="K311" s="9">
        <v>0</v>
      </c>
      <c r="L311" s="9">
        <v>0</v>
      </c>
      <c r="M311" s="9">
        <v>0</v>
      </c>
      <c r="N311" s="9">
        <v>1</v>
      </c>
      <c r="O311" s="9">
        <v>1</v>
      </c>
      <c r="P311" s="9">
        <v>1</v>
      </c>
      <c r="Q311" s="9">
        <v>0</v>
      </c>
      <c r="R311" s="9">
        <v>0</v>
      </c>
      <c r="S311" s="9">
        <v>0</v>
      </c>
      <c r="T311" s="9">
        <v>0</v>
      </c>
      <c r="U311" s="9">
        <v>1</v>
      </c>
      <c r="V311" s="9">
        <v>0</v>
      </c>
      <c r="W311" s="9">
        <v>0</v>
      </c>
      <c r="X311" s="1">
        <f t="shared" si="3"/>
        <v>9</v>
      </c>
    </row>
    <row r="312" spans="2:24" ht="13.2" x14ac:dyDescent="0.25">
      <c r="B312" s="109"/>
      <c r="C312" s="9">
        <v>2021</v>
      </c>
      <c r="D312" s="9">
        <v>1</v>
      </c>
      <c r="E312" s="9">
        <v>0</v>
      </c>
      <c r="F312" s="9">
        <v>0</v>
      </c>
      <c r="G312" s="9">
        <v>0</v>
      </c>
      <c r="H312" s="9">
        <v>1</v>
      </c>
      <c r="I312" s="9">
        <v>1</v>
      </c>
      <c r="J312" s="9">
        <v>1</v>
      </c>
      <c r="K312" s="9">
        <v>1</v>
      </c>
      <c r="L312" s="9">
        <v>1</v>
      </c>
      <c r="M312" s="9">
        <v>1</v>
      </c>
      <c r="N312" s="9">
        <v>1</v>
      </c>
      <c r="O312" s="9">
        <v>1</v>
      </c>
      <c r="P312" s="9">
        <v>0</v>
      </c>
      <c r="Q312" s="9">
        <v>0</v>
      </c>
      <c r="R312" s="9">
        <v>1</v>
      </c>
      <c r="S312" s="9">
        <v>1</v>
      </c>
      <c r="T312" s="9">
        <v>1</v>
      </c>
      <c r="U312" s="9">
        <v>1</v>
      </c>
      <c r="V312" s="9">
        <v>0</v>
      </c>
      <c r="W312" s="9">
        <v>1</v>
      </c>
      <c r="X312" s="1">
        <f t="shared" si="3"/>
        <v>14</v>
      </c>
    </row>
    <row r="313" spans="2:24" ht="13.2" x14ac:dyDescent="0.25">
      <c r="B313" s="113"/>
      <c r="C313" s="9">
        <v>2022</v>
      </c>
      <c r="D313" s="9">
        <v>1</v>
      </c>
      <c r="E313" s="9">
        <v>1</v>
      </c>
      <c r="F313" s="9">
        <v>1</v>
      </c>
      <c r="G313" s="9">
        <v>0</v>
      </c>
      <c r="H313" s="9">
        <v>1</v>
      </c>
      <c r="I313" s="9">
        <v>1</v>
      </c>
      <c r="J313" s="9">
        <v>0</v>
      </c>
      <c r="K313" s="9">
        <v>1</v>
      </c>
      <c r="L313" s="9">
        <v>0</v>
      </c>
      <c r="M313" s="9">
        <v>1</v>
      </c>
      <c r="N313" s="9">
        <v>0</v>
      </c>
      <c r="O313" s="9">
        <v>1</v>
      </c>
      <c r="P313" s="9">
        <v>1</v>
      </c>
      <c r="Q313" s="9">
        <v>0</v>
      </c>
      <c r="R313" s="9">
        <v>1</v>
      </c>
      <c r="S313" s="9">
        <v>0</v>
      </c>
      <c r="T313" s="9">
        <v>0</v>
      </c>
      <c r="U313" s="9">
        <v>1</v>
      </c>
      <c r="V313" s="9">
        <v>1</v>
      </c>
      <c r="W313" s="9">
        <v>1</v>
      </c>
      <c r="X313" s="1">
        <f t="shared" si="3"/>
        <v>13</v>
      </c>
    </row>
    <row r="314" spans="2:24" ht="13.2" x14ac:dyDescent="0.25">
      <c r="B314" s="112" t="s">
        <v>81</v>
      </c>
      <c r="C314" s="9">
        <v>2018</v>
      </c>
      <c r="D314" s="9">
        <v>1</v>
      </c>
      <c r="E314" s="9">
        <v>1</v>
      </c>
      <c r="F314" s="9">
        <v>1</v>
      </c>
      <c r="G314" s="9">
        <v>1</v>
      </c>
      <c r="H314" s="9">
        <v>1</v>
      </c>
      <c r="I314" s="9">
        <v>1</v>
      </c>
      <c r="J314" s="9">
        <v>0</v>
      </c>
      <c r="K314" s="9">
        <v>0</v>
      </c>
      <c r="L314" s="9">
        <v>0</v>
      </c>
      <c r="M314" s="9">
        <v>1</v>
      </c>
      <c r="N314" s="9">
        <v>0</v>
      </c>
      <c r="O314" s="9">
        <v>0</v>
      </c>
      <c r="P314" s="9">
        <v>0</v>
      </c>
      <c r="Q314" s="9">
        <v>1</v>
      </c>
      <c r="R314" s="9">
        <v>0</v>
      </c>
      <c r="S314" s="9">
        <v>0</v>
      </c>
      <c r="T314" s="9">
        <v>0</v>
      </c>
      <c r="U314" s="9">
        <v>1</v>
      </c>
      <c r="V314" s="9">
        <v>1</v>
      </c>
      <c r="W314" s="9">
        <v>0</v>
      </c>
      <c r="X314" s="1">
        <f t="shared" si="3"/>
        <v>10</v>
      </c>
    </row>
    <row r="315" spans="2:24" ht="13.2" x14ac:dyDescent="0.25">
      <c r="B315" s="109"/>
      <c r="C315" s="9">
        <v>2019</v>
      </c>
      <c r="D315" s="9">
        <v>1</v>
      </c>
      <c r="E315" s="9">
        <v>0</v>
      </c>
      <c r="F315" s="9">
        <v>1</v>
      </c>
      <c r="G315" s="9">
        <v>0</v>
      </c>
      <c r="H315" s="9">
        <v>1</v>
      </c>
      <c r="I315" s="9">
        <v>0</v>
      </c>
      <c r="J315" s="9">
        <v>0</v>
      </c>
      <c r="K315" s="9">
        <v>1</v>
      </c>
      <c r="L315" s="9">
        <v>0</v>
      </c>
      <c r="M315" s="9">
        <v>0</v>
      </c>
      <c r="N315" s="9">
        <v>0</v>
      </c>
      <c r="O315" s="9">
        <v>0</v>
      </c>
      <c r="P315" s="9">
        <v>1</v>
      </c>
      <c r="Q315" s="9">
        <v>1</v>
      </c>
      <c r="R315" s="9">
        <v>0</v>
      </c>
      <c r="S315" s="9">
        <v>1</v>
      </c>
      <c r="T315" s="9">
        <v>1</v>
      </c>
      <c r="U315" s="9">
        <v>1</v>
      </c>
      <c r="V315" s="9">
        <v>0</v>
      </c>
      <c r="W315" s="9">
        <v>1</v>
      </c>
      <c r="X315" s="1">
        <f t="shared" si="3"/>
        <v>10</v>
      </c>
    </row>
    <row r="316" spans="2:24" ht="13.2" x14ac:dyDescent="0.25">
      <c r="B316" s="109"/>
      <c r="C316" s="9">
        <v>2020</v>
      </c>
      <c r="D316" s="9">
        <v>1</v>
      </c>
      <c r="E316" s="9">
        <v>1</v>
      </c>
      <c r="F316" s="9">
        <v>1</v>
      </c>
      <c r="G316" s="9">
        <v>0</v>
      </c>
      <c r="H316" s="9">
        <v>0</v>
      </c>
      <c r="I316" s="9">
        <v>0</v>
      </c>
      <c r="J316" s="9">
        <v>0</v>
      </c>
      <c r="K316" s="9">
        <v>1</v>
      </c>
      <c r="L316" s="9">
        <v>0</v>
      </c>
      <c r="M316" s="9">
        <v>0</v>
      </c>
      <c r="N316" s="9">
        <v>1</v>
      </c>
      <c r="O316" s="9">
        <v>1</v>
      </c>
      <c r="P316" s="9">
        <v>1</v>
      </c>
      <c r="Q316" s="9">
        <v>1</v>
      </c>
      <c r="R316" s="9">
        <v>1</v>
      </c>
      <c r="S316" s="9">
        <v>0</v>
      </c>
      <c r="T316" s="9">
        <v>0</v>
      </c>
      <c r="U316" s="9">
        <v>1</v>
      </c>
      <c r="V316" s="9">
        <v>0</v>
      </c>
      <c r="W316" s="9">
        <v>1</v>
      </c>
      <c r="X316" s="1">
        <f t="shared" si="3"/>
        <v>11</v>
      </c>
    </row>
    <row r="317" spans="2:24" ht="13.2" x14ac:dyDescent="0.25">
      <c r="B317" s="109"/>
      <c r="C317" s="9">
        <v>2021</v>
      </c>
      <c r="D317" s="9">
        <v>1</v>
      </c>
      <c r="E317" s="9">
        <v>1</v>
      </c>
      <c r="F317" s="9">
        <v>1</v>
      </c>
      <c r="G317" s="9">
        <v>0</v>
      </c>
      <c r="H317" s="9">
        <v>0</v>
      </c>
      <c r="I317" s="9">
        <v>0</v>
      </c>
      <c r="J317" s="9">
        <v>0</v>
      </c>
      <c r="K317" s="9">
        <v>1</v>
      </c>
      <c r="L317" s="9">
        <v>0</v>
      </c>
      <c r="M317" s="9">
        <v>1</v>
      </c>
      <c r="N317" s="9">
        <v>1</v>
      </c>
      <c r="O317" s="9">
        <v>0</v>
      </c>
      <c r="P317" s="9">
        <v>1</v>
      </c>
      <c r="Q317" s="9">
        <v>0</v>
      </c>
      <c r="R317" s="9">
        <v>1</v>
      </c>
      <c r="S317" s="9">
        <v>0</v>
      </c>
      <c r="T317" s="9">
        <v>0</v>
      </c>
      <c r="U317" s="9">
        <v>0</v>
      </c>
      <c r="V317" s="9">
        <v>0</v>
      </c>
      <c r="W317" s="9">
        <v>0</v>
      </c>
      <c r="X317" s="1">
        <f t="shared" si="3"/>
        <v>8</v>
      </c>
    </row>
    <row r="318" spans="2:24" ht="13.2" x14ac:dyDescent="0.25">
      <c r="B318" s="113"/>
      <c r="C318" s="9">
        <v>2022</v>
      </c>
      <c r="D318" s="9">
        <v>1</v>
      </c>
      <c r="E318" s="9">
        <v>0</v>
      </c>
      <c r="F318" s="9">
        <v>1</v>
      </c>
      <c r="G318" s="9">
        <v>0</v>
      </c>
      <c r="H318" s="9">
        <v>0</v>
      </c>
      <c r="I318" s="9">
        <v>0</v>
      </c>
      <c r="J318" s="9">
        <v>0</v>
      </c>
      <c r="K318" s="9">
        <v>1</v>
      </c>
      <c r="L318" s="9">
        <v>0</v>
      </c>
      <c r="M318" s="9">
        <v>0</v>
      </c>
      <c r="N318" s="9">
        <v>1</v>
      </c>
      <c r="O318" s="9">
        <v>0</v>
      </c>
      <c r="P318" s="9">
        <v>0</v>
      </c>
      <c r="Q318" s="9">
        <v>0</v>
      </c>
      <c r="R318" s="9">
        <v>1</v>
      </c>
      <c r="S318" s="9">
        <v>0</v>
      </c>
      <c r="T318" s="9">
        <v>1</v>
      </c>
      <c r="U318" s="9">
        <v>1</v>
      </c>
      <c r="V318" s="9">
        <v>1</v>
      </c>
      <c r="W318" s="9">
        <v>1</v>
      </c>
      <c r="X318" s="1">
        <f t="shared" si="3"/>
        <v>9</v>
      </c>
    </row>
    <row r="319" spans="2:24" ht="13.2" x14ac:dyDescent="0.25">
      <c r="B319" s="112" t="s">
        <v>98</v>
      </c>
      <c r="C319" s="9">
        <v>2018</v>
      </c>
      <c r="D319" s="9">
        <v>1</v>
      </c>
      <c r="E319" s="9">
        <v>1</v>
      </c>
      <c r="F319" s="9">
        <v>0</v>
      </c>
      <c r="G319" s="9">
        <v>1</v>
      </c>
      <c r="H319" s="9">
        <v>0</v>
      </c>
      <c r="I319" s="9">
        <v>0</v>
      </c>
      <c r="J319" s="9">
        <v>1</v>
      </c>
      <c r="K319" s="9">
        <v>0</v>
      </c>
      <c r="L319" s="9">
        <v>1</v>
      </c>
      <c r="M319" s="9">
        <v>0</v>
      </c>
      <c r="N319" s="9">
        <v>1</v>
      </c>
      <c r="O319" s="9">
        <v>1</v>
      </c>
      <c r="P319" s="9">
        <v>1</v>
      </c>
      <c r="Q319" s="9">
        <v>0</v>
      </c>
      <c r="R319" s="9">
        <v>0</v>
      </c>
      <c r="S319" s="9">
        <v>1</v>
      </c>
      <c r="T319" s="9">
        <v>0</v>
      </c>
      <c r="U319" s="9">
        <v>1</v>
      </c>
      <c r="V319" s="9">
        <v>1</v>
      </c>
      <c r="W319" s="9">
        <v>0</v>
      </c>
      <c r="X319" s="1">
        <f t="shared" si="3"/>
        <v>11</v>
      </c>
    </row>
    <row r="320" spans="2:24" ht="13.2" x14ac:dyDescent="0.25">
      <c r="B320" s="109"/>
      <c r="C320" s="9">
        <v>2019</v>
      </c>
      <c r="D320" s="9">
        <v>1</v>
      </c>
      <c r="E320" s="9">
        <v>1</v>
      </c>
      <c r="F320" s="9">
        <v>1</v>
      </c>
      <c r="G320" s="9">
        <v>0</v>
      </c>
      <c r="H320" s="9">
        <v>1</v>
      </c>
      <c r="I320" s="9">
        <v>0</v>
      </c>
      <c r="J320" s="9">
        <v>1</v>
      </c>
      <c r="K320" s="9">
        <v>0</v>
      </c>
      <c r="L320" s="9">
        <v>0</v>
      </c>
      <c r="M320" s="9">
        <v>0</v>
      </c>
      <c r="N320" s="9">
        <v>0</v>
      </c>
      <c r="O320" s="9">
        <v>0</v>
      </c>
      <c r="P320" s="9">
        <v>1</v>
      </c>
      <c r="Q320" s="9">
        <v>0</v>
      </c>
      <c r="R320" s="9">
        <v>0</v>
      </c>
      <c r="S320" s="9">
        <v>1</v>
      </c>
      <c r="T320" s="9">
        <v>1</v>
      </c>
      <c r="U320" s="9">
        <v>1</v>
      </c>
      <c r="V320" s="9">
        <v>0</v>
      </c>
      <c r="W320" s="9">
        <v>1</v>
      </c>
      <c r="X320" s="1">
        <f t="shared" si="3"/>
        <v>10</v>
      </c>
    </row>
    <row r="321" spans="2:24" ht="13.2" x14ac:dyDescent="0.25">
      <c r="B321" s="109"/>
      <c r="C321" s="9">
        <v>2020</v>
      </c>
      <c r="D321" s="9">
        <v>1</v>
      </c>
      <c r="E321" s="9">
        <v>1</v>
      </c>
      <c r="F321" s="9">
        <v>1</v>
      </c>
      <c r="G321" s="9">
        <v>1</v>
      </c>
      <c r="H321" s="9">
        <v>0</v>
      </c>
      <c r="I321" s="9">
        <v>1</v>
      </c>
      <c r="J321" s="9">
        <v>0</v>
      </c>
      <c r="K321" s="9">
        <v>1</v>
      </c>
      <c r="L321" s="9">
        <v>0</v>
      </c>
      <c r="M321" s="9">
        <v>0</v>
      </c>
      <c r="N321" s="9">
        <v>1</v>
      </c>
      <c r="O321" s="9">
        <v>1</v>
      </c>
      <c r="P321" s="9">
        <v>0</v>
      </c>
      <c r="Q321" s="9">
        <v>0</v>
      </c>
      <c r="R321" s="9">
        <v>1</v>
      </c>
      <c r="S321" s="9">
        <v>0</v>
      </c>
      <c r="T321" s="9">
        <v>1</v>
      </c>
      <c r="U321" s="9">
        <v>0</v>
      </c>
      <c r="V321" s="9">
        <v>1</v>
      </c>
      <c r="W321" s="9">
        <v>1</v>
      </c>
      <c r="X321" s="1">
        <f t="shared" si="3"/>
        <v>12</v>
      </c>
    </row>
    <row r="322" spans="2:24" ht="13.2" x14ac:dyDescent="0.25">
      <c r="B322" s="109"/>
      <c r="C322" s="9">
        <v>2021</v>
      </c>
      <c r="D322" s="9">
        <v>1</v>
      </c>
      <c r="E322" s="9">
        <v>1</v>
      </c>
      <c r="F322" s="9">
        <v>0</v>
      </c>
      <c r="G322" s="9">
        <v>0</v>
      </c>
      <c r="H322" s="9">
        <v>0</v>
      </c>
      <c r="I322" s="9">
        <v>0</v>
      </c>
      <c r="J322" s="9">
        <v>0</v>
      </c>
      <c r="K322" s="9">
        <v>1</v>
      </c>
      <c r="L322" s="9">
        <v>1</v>
      </c>
      <c r="M322" s="9">
        <v>0</v>
      </c>
      <c r="N322" s="9">
        <v>1</v>
      </c>
      <c r="O322" s="9">
        <v>1</v>
      </c>
      <c r="P322" s="9">
        <v>0</v>
      </c>
      <c r="Q322" s="9">
        <v>1</v>
      </c>
      <c r="R322" s="9">
        <v>0</v>
      </c>
      <c r="S322" s="9">
        <v>0</v>
      </c>
      <c r="T322" s="9">
        <v>0</v>
      </c>
      <c r="U322" s="9">
        <v>1</v>
      </c>
      <c r="V322" s="9">
        <v>1</v>
      </c>
      <c r="W322" s="9">
        <v>0</v>
      </c>
      <c r="X322" s="1">
        <f t="shared" si="3"/>
        <v>9</v>
      </c>
    </row>
    <row r="323" spans="2:24" ht="13.2" x14ac:dyDescent="0.25">
      <c r="B323" s="113"/>
      <c r="C323" s="9">
        <v>2022</v>
      </c>
      <c r="D323" s="9">
        <v>1</v>
      </c>
      <c r="E323" s="9">
        <v>1</v>
      </c>
      <c r="F323" s="9">
        <v>1</v>
      </c>
      <c r="G323" s="9">
        <v>1</v>
      </c>
      <c r="H323" s="9">
        <v>1</v>
      </c>
      <c r="I323" s="9">
        <v>0</v>
      </c>
      <c r="J323" s="9">
        <v>1</v>
      </c>
      <c r="K323" s="9">
        <v>1</v>
      </c>
      <c r="L323" s="9">
        <v>1</v>
      </c>
      <c r="M323" s="9">
        <v>1</v>
      </c>
      <c r="N323" s="9">
        <v>0</v>
      </c>
      <c r="O323" s="9">
        <v>0</v>
      </c>
      <c r="P323" s="9">
        <v>1</v>
      </c>
      <c r="Q323" s="9">
        <v>1</v>
      </c>
      <c r="R323" s="9">
        <v>0</v>
      </c>
      <c r="S323" s="9">
        <v>0</v>
      </c>
      <c r="T323" s="9">
        <v>1</v>
      </c>
      <c r="U323" s="9">
        <v>0</v>
      </c>
      <c r="V323" s="9">
        <v>0</v>
      </c>
      <c r="W323" s="9">
        <v>0</v>
      </c>
      <c r="X323" s="1">
        <f t="shared" si="3"/>
        <v>12</v>
      </c>
    </row>
    <row r="324" spans="2:24" ht="13.2" x14ac:dyDescent="0.25">
      <c r="B324" s="112" t="s">
        <v>114</v>
      </c>
      <c r="C324" s="9">
        <v>2018</v>
      </c>
      <c r="D324" s="9">
        <v>1</v>
      </c>
      <c r="E324" s="9">
        <v>0</v>
      </c>
      <c r="F324" s="9">
        <v>1</v>
      </c>
      <c r="G324" s="9">
        <v>1</v>
      </c>
      <c r="H324" s="9">
        <v>1</v>
      </c>
      <c r="I324" s="9">
        <v>1</v>
      </c>
      <c r="J324" s="9">
        <v>0</v>
      </c>
      <c r="K324" s="9">
        <v>1</v>
      </c>
      <c r="L324" s="9">
        <v>1</v>
      </c>
      <c r="M324" s="9">
        <v>1</v>
      </c>
      <c r="N324" s="9">
        <v>0</v>
      </c>
      <c r="O324" s="9">
        <v>1</v>
      </c>
      <c r="P324" s="9">
        <v>1</v>
      </c>
      <c r="Q324" s="9">
        <v>1</v>
      </c>
      <c r="R324" s="9">
        <v>1</v>
      </c>
      <c r="S324" s="9">
        <v>1</v>
      </c>
      <c r="T324" s="9">
        <v>1</v>
      </c>
      <c r="U324" s="9">
        <v>1</v>
      </c>
      <c r="V324" s="9">
        <v>0</v>
      </c>
      <c r="W324" s="9">
        <v>1</v>
      </c>
      <c r="X324" s="1">
        <f t="shared" si="3"/>
        <v>16</v>
      </c>
    </row>
    <row r="325" spans="2:24" ht="13.2" x14ac:dyDescent="0.25">
      <c r="B325" s="109"/>
      <c r="C325" s="9">
        <v>2019</v>
      </c>
      <c r="D325" s="9">
        <v>1</v>
      </c>
      <c r="E325" s="9">
        <v>0</v>
      </c>
      <c r="F325" s="9">
        <v>1</v>
      </c>
      <c r="G325" s="9">
        <v>0</v>
      </c>
      <c r="H325" s="9">
        <v>0</v>
      </c>
      <c r="I325" s="9">
        <v>1</v>
      </c>
      <c r="J325" s="9">
        <v>0</v>
      </c>
      <c r="K325" s="9">
        <v>0</v>
      </c>
      <c r="L325" s="9">
        <v>1</v>
      </c>
      <c r="M325" s="9">
        <v>1</v>
      </c>
      <c r="N325" s="9">
        <v>1</v>
      </c>
      <c r="O325" s="9">
        <v>1</v>
      </c>
      <c r="P325" s="9">
        <v>0</v>
      </c>
      <c r="Q325" s="9">
        <v>1</v>
      </c>
      <c r="R325" s="9">
        <v>0</v>
      </c>
      <c r="S325" s="9">
        <v>0</v>
      </c>
      <c r="T325" s="9">
        <v>1</v>
      </c>
      <c r="U325" s="9">
        <v>0</v>
      </c>
      <c r="V325" s="9">
        <v>0</v>
      </c>
      <c r="W325" s="9">
        <v>0</v>
      </c>
      <c r="X325" s="1">
        <f t="shared" si="3"/>
        <v>9</v>
      </c>
    </row>
    <row r="326" spans="2:24" ht="13.2" x14ac:dyDescent="0.25">
      <c r="B326" s="109"/>
      <c r="C326" s="9">
        <v>2020</v>
      </c>
      <c r="D326" s="9">
        <v>1</v>
      </c>
      <c r="E326" s="9">
        <v>1</v>
      </c>
      <c r="F326" s="9">
        <v>1</v>
      </c>
      <c r="G326" s="9">
        <v>0</v>
      </c>
      <c r="H326" s="9">
        <v>1</v>
      </c>
      <c r="I326" s="9">
        <v>1</v>
      </c>
      <c r="J326" s="9">
        <v>1</v>
      </c>
      <c r="K326" s="9">
        <v>0</v>
      </c>
      <c r="L326" s="9">
        <v>0</v>
      </c>
      <c r="M326" s="9">
        <v>0</v>
      </c>
      <c r="N326" s="9">
        <v>1</v>
      </c>
      <c r="O326" s="9">
        <v>0</v>
      </c>
      <c r="P326" s="9">
        <v>0</v>
      </c>
      <c r="Q326" s="9">
        <v>1</v>
      </c>
      <c r="R326" s="9">
        <v>1</v>
      </c>
      <c r="S326" s="9">
        <v>1</v>
      </c>
      <c r="T326" s="9">
        <v>0</v>
      </c>
      <c r="U326" s="9">
        <v>0</v>
      </c>
      <c r="V326" s="9">
        <v>1</v>
      </c>
      <c r="W326" s="9">
        <v>1</v>
      </c>
      <c r="X326" s="1">
        <f t="shared" si="3"/>
        <v>12</v>
      </c>
    </row>
    <row r="327" spans="2:24" ht="13.2" x14ac:dyDescent="0.25">
      <c r="B327" s="109"/>
      <c r="C327" s="9">
        <v>2021</v>
      </c>
      <c r="D327" s="9">
        <v>1</v>
      </c>
      <c r="E327" s="9">
        <v>0</v>
      </c>
      <c r="F327" s="9">
        <v>0</v>
      </c>
      <c r="G327" s="9">
        <v>0</v>
      </c>
      <c r="H327" s="9">
        <v>1</v>
      </c>
      <c r="I327" s="9">
        <v>0</v>
      </c>
      <c r="J327" s="9">
        <v>0</v>
      </c>
      <c r="K327" s="9">
        <v>0</v>
      </c>
      <c r="L327" s="9">
        <v>0</v>
      </c>
      <c r="M327" s="9">
        <v>0</v>
      </c>
      <c r="N327" s="9">
        <v>1</v>
      </c>
      <c r="O327" s="9">
        <v>0</v>
      </c>
      <c r="P327" s="9">
        <v>0</v>
      </c>
      <c r="Q327" s="9">
        <v>1</v>
      </c>
      <c r="R327" s="9">
        <v>0</v>
      </c>
      <c r="S327" s="9">
        <v>1</v>
      </c>
      <c r="T327" s="9">
        <v>1</v>
      </c>
      <c r="U327" s="9">
        <v>1</v>
      </c>
      <c r="V327" s="9">
        <v>0</v>
      </c>
      <c r="W327" s="9">
        <v>0</v>
      </c>
      <c r="X327" s="1">
        <f t="shared" si="3"/>
        <v>7</v>
      </c>
    </row>
    <row r="328" spans="2:24" ht="13.2" x14ac:dyDescent="0.25">
      <c r="B328" s="113"/>
      <c r="C328" s="9">
        <v>2022</v>
      </c>
      <c r="D328" s="9">
        <v>1</v>
      </c>
      <c r="E328" s="9">
        <v>0</v>
      </c>
      <c r="F328" s="9">
        <v>1</v>
      </c>
      <c r="G328" s="9">
        <v>0</v>
      </c>
      <c r="H328" s="9">
        <v>0</v>
      </c>
      <c r="I328" s="9">
        <v>0</v>
      </c>
      <c r="J328" s="9">
        <v>1</v>
      </c>
      <c r="K328" s="9">
        <v>0</v>
      </c>
      <c r="L328" s="9">
        <v>0</v>
      </c>
      <c r="M328" s="9">
        <v>0</v>
      </c>
      <c r="N328" s="9">
        <v>0</v>
      </c>
      <c r="O328" s="9">
        <v>0</v>
      </c>
      <c r="P328" s="9">
        <v>0</v>
      </c>
      <c r="Q328" s="9">
        <v>1</v>
      </c>
      <c r="R328" s="9">
        <v>1</v>
      </c>
      <c r="S328" s="9">
        <v>1</v>
      </c>
      <c r="T328" s="9">
        <v>1</v>
      </c>
      <c r="U328" s="9">
        <v>1</v>
      </c>
      <c r="V328" s="9">
        <v>0</v>
      </c>
      <c r="W328" s="9">
        <v>0</v>
      </c>
      <c r="X328" s="1">
        <f t="shared" si="3"/>
        <v>8</v>
      </c>
    </row>
    <row r="329" spans="2:24" ht="13.2" x14ac:dyDescent="0.25">
      <c r="B329" s="112" t="s">
        <v>129</v>
      </c>
      <c r="C329" s="9">
        <v>2018</v>
      </c>
      <c r="D329" s="9">
        <v>1</v>
      </c>
      <c r="E329" s="9">
        <v>0</v>
      </c>
      <c r="F329" s="9">
        <v>1</v>
      </c>
      <c r="G329" s="9">
        <v>0</v>
      </c>
      <c r="H329" s="9">
        <v>1</v>
      </c>
      <c r="I329" s="9">
        <v>0</v>
      </c>
      <c r="J329" s="9">
        <v>1</v>
      </c>
      <c r="K329" s="9">
        <v>1</v>
      </c>
      <c r="L329" s="9">
        <v>1</v>
      </c>
      <c r="M329" s="9">
        <v>1</v>
      </c>
      <c r="N329" s="9">
        <v>0</v>
      </c>
      <c r="O329" s="9">
        <v>1</v>
      </c>
      <c r="P329" s="9">
        <v>0</v>
      </c>
      <c r="Q329" s="9">
        <v>0</v>
      </c>
      <c r="R329" s="9">
        <v>0</v>
      </c>
      <c r="S329" s="9">
        <v>1</v>
      </c>
      <c r="T329" s="9">
        <v>1</v>
      </c>
      <c r="U329" s="9">
        <v>0</v>
      </c>
      <c r="V329" s="9">
        <v>1</v>
      </c>
      <c r="W329" s="9">
        <v>1</v>
      </c>
      <c r="X329" s="1">
        <f t="shared" si="3"/>
        <v>12</v>
      </c>
    </row>
    <row r="330" spans="2:24" ht="13.2" x14ac:dyDescent="0.25">
      <c r="B330" s="109"/>
      <c r="C330" s="9">
        <v>2019</v>
      </c>
      <c r="D330" s="9">
        <v>1</v>
      </c>
      <c r="E330" s="9">
        <v>0</v>
      </c>
      <c r="F330" s="9">
        <v>0</v>
      </c>
      <c r="G330" s="9">
        <v>1</v>
      </c>
      <c r="H330" s="9">
        <v>0</v>
      </c>
      <c r="I330" s="9">
        <v>0</v>
      </c>
      <c r="J330" s="9">
        <v>1</v>
      </c>
      <c r="K330" s="9">
        <v>0</v>
      </c>
      <c r="L330" s="9">
        <v>1</v>
      </c>
      <c r="M330" s="9">
        <v>0</v>
      </c>
      <c r="N330" s="9">
        <v>1</v>
      </c>
      <c r="O330" s="9">
        <v>0</v>
      </c>
      <c r="P330" s="9">
        <v>0</v>
      </c>
      <c r="Q330" s="9">
        <v>1</v>
      </c>
      <c r="R330" s="9">
        <v>1</v>
      </c>
      <c r="S330" s="9">
        <v>1</v>
      </c>
      <c r="T330" s="9">
        <v>1</v>
      </c>
      <c r="U330" s="9">
        <v>0</v>
      </c>
      <c r="V330" s="9">
        <v>1</v>
      </c>
      <c r="W330" s="9">
        <v>1</v>
      </c>
      <c r="X330" s="1">
        <f t="shared" si="3"/>
        <v>11</v>
      </c>
    </row>
    <row r="331" spans="2:24" ht="13.2" x14ac:dyDescent="0.25">
      <c r="B331" s="109"/>
      <c r="C331" s="9">
        <v>2020</v>
      </c>
      <c r="D331" s="9">
        <v>1</v>
      </c>
      <c r="E331" s="9">
        <v>1</v>
      </c>
      <c r="F331" s="9">
        <v>0</v>
      </c>
      <c r="G331" s="9">
        <v>1</v>
      </c>
      <c r="H331" s="9">
        <v>0</v>
      </c>
      <c r="I331" s="9">
        <v>1</v>
      </c>
      <c r="J331" s="9">
        <v>1</v>
      </c>
      <c r="K331" s="9">
        <v>1</v>
      </c>
      <c r="L331" s="9">
        <v>1</v>
      </c>
      <c r="M331" s="9">
        <v>0</v>
      </c>
      <c r="N331" s="9">
        <v>0</v>
      </c>
      <c r="O331" s="9">
        <v>0</v>
      </c>
      <c r="P331" s="9">
        <v>1</v>
      </c>
      <c r="Q331" s="9">
        <v>1</v>
      </c>
      <c r="R331" s="9">
        <v>1</v>
      </c>
      <c r="S331" s="9">
        <v>0</v>
      </c>
      <c r="T331" s="9">
        <v>1</v>
      </c>
      <c r="U331" s="9">
        <v>0</v>
      </c>
      <c r="V331" s="9">
        <v>1</v>
      </c>
      <c r="W331" s="9">
        <v>0</v>
      </c>
      <c r="X331" s="1">
        <f t="shared" si="3"/>
        <v>12</v>
      </c>
    </row>
    <row r="332" spans="2:24" ht="13.2" x14ac:dyDescent="0.25">
      <c r="B332" s="109"/>
      <c r="C332" s="9">
        <v>2021</v>
      </c>
      <c r="D332" s="9">
        <v>1</v>
      </c>
      <c r="E332" s="9">
        <v>0</v>
      </c>
      <c r="F332" s="9">
        <v>1</v>
      </c>
      <c r="G332" s="9">
        <v>0</v>
      </c>
      <c r="H332" s="9">
        <v>0</v>
      </c>
      <c r="I332" s="9">
        <v>1</v>
      </c>
      <c r="J332" s="9">
        <v>1</v>
      </c>
      <c r="K332" s="9">
        <v>1</v>
      </c>
      <c r="L332" s="9">
        <v>0</v>
      </c>
      <c r="M332" s="9">
        <v>0</v>
      </c>
      <c r="N332" s="9">
        <v>0</v>
      </c>
      <c r="O332" s="9">
        <v>0</v>
      </c>
      <c r="P332" s="9">
        <v>0</v>
      </c>
      <c r="Q332" s="9">
        <v>0</v>
      </c>
      <c r="R332" s="9">
        <v>0</v>
      </c>
      <c r="S332" s="9">
        <v>0</v>
      </c>
      <c r="T332" s="9">
        <v>0</v>
      </c>
      <c r="U332" s="9">
        <v>1</v>
      </c>
      <c r="V332" s="9">
        <v>0</v>
      </c>
      <c r="W332" s="9">
        <v>0</v>
      </c>
      <c r="X332" s="1">
        <f t="shared" si="3"/>
        <v>6</v>
      </c>
    </row>
    <row r="333" spans="2:24" ht="13.2" x14ac:dyDescent="0.25">
      <c r="B333" s="113"/>
      <c r="C333" s="9">
        <v>2022</v>
      </c>
      <c r="D333" s="9">
        <v>1</v>
      </c>
      <c r="E333" s="9">
        <v>1</v>
      </c>
      <c r="F333" s="9">
        <v>0</v>
      </c>
      <c r="G333" s="9">
        <v>1</v>
      </c>
      <c r="H333" s="9">
        <v>1</v>
      </c>
      <c r="I333" s="9">
        <v>1</v>
      </c>
      <c r="J333" s="9">
        <v>0</v>
      </c>
      <c r="K333" s="9">
        <v>1</v>
      </c>
      <c r="L333" s="9">
        <v>1</v>
      </c>
      <c r="M333" s="9">
        <v>1</v>
      </c>
      <c r="N333" s="9">
        <v>0</v>
      </c>
      <c r="O333" s="9">
        <v>0</v>
      </c>
      <c r="P333" s="9">
        <v>1</v>
      </c>
      <c r="Q333" s="9">
        <v>0</v>
      </c>
      <c r="R333" s="9">
        <v>0</v>
      </c>
      <c r="S333" s="9">
        <v>0</v>
      </c>
      <c r="T333" s="9">
        <v>1</v>
      </c>
      <c r="U333" s="9">
        <v>0</v>
      </c>
      <c r="V333" s="9">
        <v>1</v>
      </c>
      <c r="W333" s="9">
        <v>0</v>
      </c>
      <c r="X333" s="1">
        <f t="shared" si="3"/>
        <v>11</v>
      </c>
    </row>
    <row r="334" spans="2:24" ht="13.2" x14ac:dyDescent="0.25">
      <c r="B334" s="112" t="s">
        <v>140</v>
      </c>
      <c r="C334" s="9">
        <v>2018</v>
      </c>
      <c r="D334" s="9">
        <v>1</v>
      </c>
      <c r="E334" s="9">
        <v>0</v>
      </c>
      <c r="F334" s="9">
        <v>1</v>
      </c>
      <c r="G334" s="9">
        <v>0</v>
      </c>
      <c r="H334" s="9">
        <v>0</v>
      </c>
      <c r="I334" s="9">
        <v>0</v>
      </c>
      <c r="J334" s="9">
        <v>1</v>
      </c>
      <c r="K334" s="9">
        <v>0</v>
      </c>
      <c r="L334" s="9">
        <v>0</v>
      </c>
      <c r="M334" s="9">
        <v>1</v>
      </c>
      <c r="N334" s="9">
        <v>0</v>
      </c>
      <c r="O334" s="9">
        <v>0</v>
      </c>
      <c r="P334" s="9">
        <v>0</v>
      </c>
      <c r="Q334" s="9">
        <v>0</v>
      </c>
      <c r="R334" s="9">
        <v>0</v>
      </c>
      <c r="S334" s="9">
        <v>0</v>
      </c>
      <c r="T334" s="9">
        <v>1</v>
      </c>
      <c r="U334" s="9">
        <v>0</v>
      </c>
      <c r="V334" s="9">
        <v>1</v>
      </c>
      <c r="W334" s="9">
        <v>0</v>
      </c>
      <c r="X334" s="1">
        <f t="shared" si="3"/>
        <v>6</v>
      </c>
    </row>
    <row r="335" spans="2:24" ht="13.2" x14ac:dyDescent="0.25">
      <c r="B335" s="109"/>
      <c r="C335" s="9">
        <v>2019</v>
      </c>
      <c r="D335" s="9">
        <v>1</v>
      </c>
      <c r="E335" s="9">
        <v>0</v>
      </c>
      <c r="F335" s="9">
        <v>0</v>
      </c>
      <c r="G335" s="9">
        <v>0</v>
      </c>
      <c r="H335" s="9">
        <v>0</v>
      </c>
      <c r="I335" s="9">
        <v>0</v>
      </c>
      <c r="J335" s="9">
        <v>1</v>
      </c>
      <c r="K335" s="9">
        <v>1</v>
      </c>
      <c r="L335" s="9">
        <v>0</v>
      </c>
      <c r="M335" s="9">
        <v>0</v>
      </c>
      <c r="N335" s="9">
        <v>0</v>
      </c>
      <c r="O335" s="9">
        <v>0</v>
      </c>
      <c r="P335" s="9">
        <v>1</v>
      </c>
      <c r="Q335" s="9">
        <v>1</v>
      </c>
      <c r="R335" s="9">
        <v>0</v>
      </c>
      <c r="S335" s="9">
        <v>0</v>
      </c>
      <c r="T335" s="9">
        <v>0</v>
      </c>
      <c r="U335" s="9">
        <v>1</v>
      </c>
      <c r="V335" s="9">
        <v>1</v>
      </c>
      <c r="W335" s="9">
        <v>0</v>
      </c>
      <c r="X335" s="1">
        <f t="shared" si="3"/>
        <v>7</v>
      </c>
    </row>
    <row r="336" spans="2:24" ht="13.2" x14ac:dyDescent="0.25">
      <c r="B336" s="109"/>
      <c r="C336" s="9">
        <v>2020</v>
      </c>
      <c r="D336" s="9">
        <v>1</v>
      </c>
      <c r="E336" s="9">
        <v>0</v>
      </c>
      <c r="F336" s="9">
        <v>0</v>
      </c>
      <c r="G336" s="9">
        <v>1</v>
      </c>
      <c r="H336" s="9">
        <v>0</v>
      </c>
      <c r="I336" s="9">
        <v>1</v>
      </c>
      <c r="J336" s="9">
        <v>1</v>
      </c>
      <c r="K336" s="9">
        <v>1</v>
      </c>
      <c r="L336" s="9">
        <v>0</v>
      </c>
      <c r="M336" s="9">
        <v>1</v>
      </c>
      <c r="N336" s="9">
        <v>0</v>
      </c>
      <c r="O336" s="9">
        <v>0</v>
      </c>
      <c r="P336" s="9">
        <v>0</v>
      </c>
      <c r="Q336" s="9">
        <v>1</v>
      </c>
      <c r="R336" s="9">
        <v>0</v>
      </c>
      <c r="S336" s="9">
        <v>0</v>
      </c>
      <c r="T336" s="9">
        <v>0</v>
      </c>
      <c r="U336" s="9">
        <v>0</v>
      </c>
      <c r="V336" s="9">
        <v>0</v>
      </c>
      <c r="W336" s="9">
        <v>0</v>
      </c>
      <c r="X336" s="1">
        <f t="shared" si="3"/>
        <v>7</v>
      </c>
    </row>
    <row r="337" spans="2:24" ht="13.2" x14ac:dyDescent="0.25">
      <c r="B337" s="109"/>
      <c r="C337" s="9">
        <v>2021</v>
      </c>
      <c r="D337" s="9">
        <v>1</v>
      </c>
      <c r="E337" s="9">
        <v>0</v>
      </c>
      <c r="F337" s="9">
        <v>1</v>
      </c>
      <c r="G337" s="9">
        <v>0</v>
      </c>
      <c r="H337" s="9">
        <v>0</v>
      </c>
      <c r="I337" s="9">
        <v>1</v>
      </c>
      <c r="J337" s="9">
        <v>0</v>
      </c>
      <c r="K337" s="9">
        <v>0</v>
      </c>
      <c r="L337" s="9">
        <v>0</v>
      </c>
      <c r="M337" s="9">
        <v>1</v>
      </c>
      <c r="N337" s="9">
        <v>1</v>
      </c>
      <c r="O337" s="9">
        <v>1</v>
      </c>
      <c r="P337" s="9">
        <v>0</v>
      </c>
      <c r="Q337" s="9">
        <v>1</v>
      </c>
      <c r="R337" s="9">
        <v>0</v>
      </c>
      <c r="S337" s="9">
        <v>0</v>
      </c>
      <c r="T337" s="9">
        <v>0</v>
      </c>
      <c r="U337" s="9">
        <v>1</v>
      </c>
      <c r="V337" s="9">
        <v>1</v>
      </c>
      <c r="W337" s="9">
        <v>1</v>
      </c>
      <c r="X337" s="1">
        <f t="shared" si="3"/>
        <v>10</v>
      </c>
    </row>
    <row r="338" spans="2:24" ht="13.2" x14ac:dyDescent="0.25">
      <c r="B338" s="113"/>
      <c r="C338" s="9">
        <v>2022</v>
      </c>
      <c r="D338" s="9">
        <v>1</v>
      </c>
      <c r="E338" s="9">
        <v>1</v>
      </c>
      <c r="F338" s="9">
        <v>1</v>
      </c>
      <c r="G338" s="9">
        <v>0</v>
      </c>
      <c r="H338" s="9">
        <v>1</v>
      </c>
      <c r="I338" s="9">
        <v>1</v>
      </c>
      <c r="J338" s="9">
        <v>1</v>
      </c>
      <c r="K338" s="9">
        <v>0</v>
      </c>
      <c r="L338" s="9">
        <v>1</v>
      </c>
      <c r="M338" s="9">
        <v>1</v>
      </c>
      <c r="N338" s="9">
        <v>1</v>
      </c>
      <c r="O338" s="9">
        <v>0</v>
      </c>
      <c r="P338" s="9">
        <v>0</v>
      </c>
      <c r="Q338" s="9">
        <v>0</v>
      </c>
      <c r="R338" s="9">
        <v>0</v>
      </c>
      <c r="S338" s="9">
        <v>1</v>
      </c>
      <c r="T338" s="9">
        <v>1</v>
      </c>
      <c r="U338" s="9">
        <v>0</v>
      </c>
      <c r="V338" s="9">
        <v>0</v>
      </c>
      <c r="W338" s="9">
        <v>1</v>
      </c>
      <c r="X338" s="1">
        <f t="shared" si="3"/>
        <v>12</v>
      </c>
    </row>
    <row r="339" spans="2:24" ht="13.2" x14ac:dyDescent="0.25">
      <c r="B339" s="112" t="s">
        <v>150</v>
      </c>
      <c r="C339" s="9">
        <v>2018</v>
      </c>
      <c r="D339" s="9">
        <v>1</v>
      </c>
      <c r="E339" s="9">
        <v>1</v>
      </c>
      <c r="F339" s="9">
        <v>0</v>
      </c>
      <c r="G339" s="9">
        <v>1</v>
      </c>
      <c r="H339" s="9">
        <v>0</v>
      </c>
      <c r="I339" s="9">
        <v>0</v>
      </c>
      <c r="J339" s="9">
        <v>0</v>
      </c>
      <c r="K339" s="9">
        <v>1</v>
      </c>
      <c r="L339" s="9">
        <v>0</v>
      </c>
      <c r="M339" s="9">
        <v>0</v>
      </c>
      <c r="N339" s="9">
        <v>0</v>
      </c>
      <c r="O339" s="9">
        <v>1</v>
      </c>
      <c r="P339" s="9">
        <v>0</v>
      </c>
      <c r="Q339" s="9">
        <v>0</v>
      </c>
      <c r="R339" s="9">
        <v>0</v>
      </c>
      <c r="S339" s="9">
        <v>1</v>
      </c>
      <c r="T339" s="9">
        <v>1</v>
      </c>
      <c r="U339" s="9">
        <v>0</v>
      </c>
      <c r="V339" s="9">
        <v>0</v>
      </c>
      <c r="W339" s="9">
        <v>0</v>
      </c>
      <c r="X339" s="1">
        <f t="shared" si="3"/>
        <v>7</v>
      </c>
    </row>
    <row r="340" spans="2:24" ht="13.2" x14ac:dyDescent="0.25">
      <c r="B340" s="109"/>
      <c r="C340" s="9">
        <v>2019</v>
      </c>
      <c r="D340" s="9">
        <v>1</v>
      </c>
      <c r="E340" s="9">
        <v>1</v>
      </c>
      <c r="F340" s="9">
        <v>0</v>
      </c>
      <c r="G340" s="9">
        <v>0</v>
      </c>
      <c r="H340" s="9">
        <v>0</v>
      </c>
      <c r="I340" s="9">
        <v>1</v>
      </c>
      <c r="J340" s="9">
        <v>0</v>
      </c>
      <c r="K340" s="9">
        <v>0</v>
      </c>
      <c r="L340" s="9">
        <v>0</v>
      </c>
      <c r="M340" s="9">
        <v>0</v>
      </c>
      <c r="N340" s="9">
        <v>1</v>
      </c>
      <c r="O340" s="9">
        <v>1</v>
      </c>
      <c r="P340" s="9">
        <v>0</v>
      </c>
      <c r="Q340" s="9">
        <v>0</v>
      </c>
      <c r="R340" s="9">
        <v>1</v>
      </c>
      <c r="S340" s="9">
        <v>0</v>
      </c>
      <c r="T340" s="9">
        <v>0</v>
      </c>
      <c r="U340" s="9">
        <v>0</v>
      </c>
      <c r="V340" s="9">
        <v>0</v>
      </c>
      <c r="W340" s="9">
        <v>0</v>
      </c>
      <c r="X340" s="1">
        <f t="shared" si="3"/>
        <v>6</v>
      </c>
    </row>
    <row r="341" spans="2:24" ht="13.2" x14ac:dyDescent="0.25">
      <c r="B341" s="109"/>
      <c r="C341" s="9">
        <v>2020</v>
      </c>
      <c r="D341" s="9">
        <v>1</v>
      </c>
      <c r="E341" s="9">
        <v>0</v>
      </c>
      <c r="F341" s="9">
        <v>1</v>
      </c>
      <c r="G341" s="9">
        <v>0</v>
      </c>
      <c r="H341" s="9">
        <v>0</v>
      </c>
      <c r="I341" s="9">
        <v>1</v>
      </c>
      <c r="J341" s="9">
        <v>1</v>
      </c>
      <c r="K341" s="9">
        <v>0</v>
      </c>
      <c r="L341" s="9">
        <v>1</v>
      </c>
      <c r="M341" s="9">
        <v>1</v>
      </c>
      <c r="N341" s="9">
        <v>1</v>
      </c>
      <c r="O341" s="9">
        <v>0</v>
      </c>
      <c r="P341" s="9">
        <v>1</v>
      </c>
      <c r="Q341" s="9">
        <v>0</v>
      </c>
      <c r="R341" s="9">
        <v>0</v>
      </c>
      <c r="S341" s="9">
        <v>1</v>
      </c>
      <c r="T341" s="9">
        <v>0</v>
      </c>
      <c r="U341" s="9">
        <v>1</v>
      </c>
      <c r="V341" s="9">
        <v>0</v>
      </c>
      <c r="W341" s="9">
        <v>1</v>
      </c>
      <c r="X341" s="1">
        <f t="shared" si="3"/>
        <v>11</v>
      </c>
    </row>
    <row r="342" spans="2:24" ht="13.2" x14ac:dyDescent="0.25">
      <c r="B342" s="109"/>
      <c r="C342" s="9">
        <v>2021</v>
      </c>
      <c r="D342" s="9">
        <v>1</v>
      </c>
      <c r="E342" s="9">
        <v>1</v>
      </c>
      <c r="F342" s="9">
        <v>1</v>
      </c>
      <c r="G342" s="9">
        <v>1</v>
      </c>
      <c r="H342" s="9">
        <v>1</v>
      </c>
      <c r="I342" s="9">
        <v>0</v>
      </c>
      <c r="J342" s="9">
        <v>1</v>
      </c>
      <c r="K342" s="9">
        <v>0</v>
      </c>
      <c r="L342" s="9">
        <v>0</v>
      </c>
      <c r="M342" s="9">
        <v>1</v>
      </c>
      <c r="N342" s="9">
        <v>1</v>
      </c>
      <c r="O342" s="9">
        <v>0</v>
      </c>
      <c r="P342" s="9">
        <v>1</v>
      </c>
      <c r="Q342" s="9">
        <v>0</v>
      </c>
      <c r="R342" s="9">
        <v>0</v>
      </c>
      <c r="S342" s="9">
        <v>1</v>
      </c>
      <c r="T342" s="9">
        <v>0</v>
      </c>
      <c r="U342" s="9">
        <v>1</v>
      </c>
      <c r="V342" s="9">
        <v>1</v>
      </c>
      <c r="W342" s="9">
        <v>1</v>
      </c>
      <c r="X342" s="1">
        <f t="shared" si="3"/>
        <v>13</v>
      </c>
    </row>
    <row r="343" spans="2:24" ht="13.2" x14ac:dyDescent="0.25">
      <c r="B343" s="113"/>
      <c r="C343" s="9">
        <v>2022</v>
      </c>
      <c r="D343" s="9">
        <v>1</v>
      </c>
      <c r="E343" s="9">
        <v>0</v>
      </c>
      <c r="F343" s="9">
        <v>0</v>
      </c>
      <c r="G343" s="9">
        <v>1</v>
      </c>
      <c r="H343" s="9">
        <v>0</v>
      </c>
      <c r="I343" s="9">
        <v>1</v>
      </c>
      <c r="J343" s="9">
        <v>1</v>
      </c>
      <c r="K343" s="9">
        <v>0</v>
      </c>
      <c r="L343" s="9">
        <v>1</v>
      </c>
      <c r="M343" s="9">
        <v>1</v>
      </c>
      <c r="N343" s="9">
        <v>1</v>
      </c>
      <c r="O343" s="9">
        <v>0</v>
      </c>
      <c r="P343" s="9">
        <v>1</v>
      </c>
      <c r="Q343" s="9">
        <v>0</v>
      </c>
      <c r="R343" s="9">
        <v>1</v>
      </c>
      <c r="S343" s="9">
        <v>1</v>
      </c>
      <c r="T343" s="9">
        <v>1</v>
      </c>
      <c r="U343" s="9">
        <v>0</v>
      </c>
      <c r="V343" s="9">
        <v>0</v>
      </c>
      <c r="W343" s="9">
        <v>0</v>
      </c>
      <c r="X343" s="1">
        <f t="shared" si="3"/>
        <v>11</v>
      </c>
    </row>
    <row r="344" spans="2:24" ht="13.2" x14ac:dyDescent="0.25">
      <c r="B344" s="112" t="s">
        <v>156</v>
      </c>
      <c r="C344" s="9">
        <v>2018</v>
      </c>
      <c r="D344" s="9">
        <v>1</v>
      </c>
      <c r="E344" s="9">
        <v>1</v>
      </c>
      <c r="F344" s="9">
        <v>1</v>
      </c>
      <c r="G344" s="9">
        <v>0</v>
      </c>
      <c r="H344" s="9">
        <v>0</v>
      </c>
      <c r="I344" s="9">
        <v>1</v>
      </c>
      <c r="J344" s="9">
        <v>0</v>
      </c>
      <c r="K344" s="9">
        <v>0</v>
      </c>
      <c r="L344" s="9">
        <v>1</v>
      </c>
      <c r="M344" s="9">
        <v>1</v>
      </c>
      <c r="N344" s="9">
        <v>0</v>
      </c>
      <c r="O344" s="9">
        <v>1</v>
      </c>
      <c r="P344" s="9">
        <v>0</v>
      </c>
      <c r="Q344" s="9">
        <v>0</v>
      </c>
      <c r="R344" s="9">
        <v>1</v>
      </c>
      <c r="S344" s="9">
        <v>0</v>
      </c>
      <c r="T344" s="9">
        <v>0</v>
      </c>
      <c r="U344" s="9">
        <v>0</v>
      </c>
      <c r="V344" s="9">
        <v>0</v>
      </c>
      <c r="W344" s="9">
        <v>0</v>
      </c>
      <c r="X344" s="1">
        <f t="shared" si="3"/>
        <v>8</v>
      </c>
    </row>
    <row r="345" spans="2:24" ht="13.2" x14ac:dyDescent="0.25">
      <c r="B345" s="109"/>
      <c r="C345" s="9">
        <v>2019</v>
      </c>
      <c r="D345" s="9">
        <v>1</v>
      </c>
      <c r="E345" s="9">
        <v>1</v>
      </c>
      <c r="F345" s="9">
        <v>0</v>
      </c>
      <c r="G345" s="9">
        <v>0</v>
      </c>
      <c r="H345" s="9">
        <v>0</v>
      </c>
      <c r="I345" s="9">
        <v>1</v>
      </c>
      <c r="J345" s="9">
        <v>0</v>
      </c>
      <c r="K345" s="9">
        <v>0</v>
      </c>
      <c r="L345" s="9">
        <v>0</v>
      </c>
      <c r="M345" s="9">
        <v>0</v>
      </c>
      <c r="N345" s="9">
        <v>0</v>
      </c>
      <c r="O345" s="9">
        <v>0</v>
      </c>
      <c r="P345" s="9">
        <v>0</v>
      </c>
      <c r="Q345" s="9">
        <v>0</v>
      </c>
      <c r="R345" s="9">
        <v>1</v>
      </c>
      <c r="S345" s="9">
        <v>0</v>
      </c>
      <c r="T345" s="9">
        <v>1</v>
      </c>
      <c r="U345" s="9">
        <v>1</v>
      </c>
      <c r="V345" s="9">
        <v>1</v>
      </c>
      <c r="W345" s="9">
        <v>1</v>
      </c>
      <c r="X345" s="1">
        <f t="shared" si="3"/>
        <v>8</v>
      </c>
    </row>
    <row r="346" spans="2:24" ht="13.2" x14ac:dyDescent="0.25">
      <c r="B346" s="109"/>
      <c r="C346" s="9">
        <v>2020</v>
      </c>
      <c r="D346" s="9">
        <v>1</v>
      </c>
      <c r="E346" s="9">
        <v>1</v>
      </c>
      <c r="F346" s="9">
        <v>0</v>
      </c>
      <c r="G346" s="9">
        <v>1</v>
      </c>
      <c r="H346" s="9">
        <v>1</v>
      </c>
      <c r="I346" s="9">
        <v>1</v>
      </c>
      <c r="J346" s="9">
        <v>0</v>
      </c>
      <c r="K346" s="9">
        <v>1</v>
      </c>
      <c r="L346" s="9">
        <v>1</v>
      </c>
      <c r="M346" s="9">
        <v>1</v>
      </c>
      <c r="N346" s="9">
        <v>0</v>
      </c>
      <c r="O346" s="9">
        <v>1</v>
      </c>
      <c r="P346" s="9">
        <v>1</v>
      </c>
      <c r="Q346" s="9">
        <v>0</v>
      </c>
      <c r="R346" s="9">
        <v>1</v>
      </c>
      <c r="S346" s="9">
        <v>0</v>
      </c>
      <c r="T346" s="9">
        <v>0</v>
      </c>
      <c r="U346" s="9">
        <v>1</v>
      </c>
      <c r="V346" s="9">
        <v>0</v>
      </c>
      <c r="W346" s="9">
        <v>0</v>
      </c>
      <c r="X346" s="1">
        <f t="shared" si="3"/>
        <v>12</v>
      </c>
    </row>
    <row r="347" spans="2:24" ht="13.2" x14ac:dyDescent="0.25">
      <c r="B347" s="109"/>
      <c r="C347" s="9">
        <v>2021</v>
      </c>
      <c r="D347" s="9">
        <v>1</v>
      </c>
      <c r="E347" s="9">
        <v>1</v>
      </c>
      <c r="F347" s="9">
        <v>1</v>
      </c>
      <c r="G347" s="9">
        <v>1</v>
      </c>
      <c r="H347" s="9">
        <v>0</v>
      </c>
      <c r="I347" s="9">
        <v>0</v>
      </c>
      <c r="J347" s="9">
        <v>0</v>
      </c>
      <c r="K347" s="9">
        <v>1</v>
      </c>
      <c r="L347" s="9">
        <v>0</v>
      </c>
      <c r="M347" s="9">
        <v>0</v>
      </c>
      <c r="N347" s="9">
        <v>0</v>
      </c>
      <c r="O347" s="9">
        <v>1</v>
      </c>
      <c r="P347" s="9">
        <v>0</v>
      </c>
      <c r="Q347" s="9">
        <v>1</v>
      </c>
      <c r="R347" s="9">
        <v>1</v>
      </c>
      <c r="S347" s="9">
        <v>0</v>
      </c>
      <c r="T347" s="9">
        <v>0</v>
      </c>
      <c r="U347" s="9">
        <v>0</v>
      </c>
      <c r="V347" s="9">
        <v>1</v>
      </c>
      <c r="W347" s="9">
        <v>0</v>
      </c>
      <c r="X347" s="1">
        <f t="shared" si="3"/>
        <v>9</v>
      </c>
    </row>
    <row r="348" spans="2:24" ht="13.2" x14ac:dyDescent="0.25">
      <c r="B348" s="113"/>
      <c r="C348" s="9">
        <v>2022</v>
      </c>
      <c r="D348" s="9">
        <v>1</v>
      </c>
      <c r="E348" s="9">
        <v>0</v>
      </c>
      <c r="F348" s="9">
        <v>0</v>
      </c>
      <c r="G348" s="9">
        <v>1</v>
      </c>
      <c r="H348" s="9">
        <v>0</v>
      </c>
      <c r="I348" s="9">
        <v>1</v>
      </c>
      <c r="J348" s="9">
        <v>0</v>
      </c>
      <c r="K348" s="9">
        <v>1</v>
      </c>
      <c r="L348" s="9">
        <v>1</v>
      </c>
      <c r="M348" s="9">
        <v>1</v>
      </c>
      <c r="N348" s="9">
        <v>1</v>
      </c>
      <c r="O348" s="9">
        <v>1</v>
      </c>
      <c r="P348" s="9">
        <v>0</v>
      </c>
      <c r="Q348" s="9">
        <v>1</v>
      </c>
      <c r="R348" s="9">
        <v>1</v>
      </c>
      <c r="S348" s="9">
        <v>0</v>
      </c>
      <c r="T348" s="9">
        <v>1</v>
      </c>
      <c r="U348" s="9">
        <v>1</v>
      </c>
      <c r="V348" s="9">
        <v>1</v>
      </c>
      <c r="W348" s="9">
        <v>1</v>
      </c>
      <c r="X348" s="1">
        <f t="shared" si="3"/>
        <v>14</v>
      </c>
    </row>
    <row r="349" spans="2:24" ht="13.2" x14ac:dyDescent="0.25">
      <c r="B349" s="112" t="s">
        <v>162</v>
      </c>
      <c r="C349" s="9">
        <v>2018</v>
      </c>
      <c r="D349" s="9">
        <v>1</v>
      </c>
      <c r="E349" s="9">
        <v>1</v>
      </c>
      <c r="F349" s="9">
        <v>1</v>
      </c>
      <c r="G349" s="9">
        <v>0</v>
      </c>
      <c r="H349" s="9">
        <v>0</v>
      </c>
      <c r="I349" s="9">
        <v>1</v>
      </c>
      <c r="J349" s="9">
        <v>0</v>
      </c>
      <c r="K349" s="9">
        <v>1</v>
      </c>
      <c r="L349" s="9">
        <v>0</v>
      </c>
      <c r="M349" s="9">
        <v>1</v>
      </c>
      <c r="N349" s="9">
        <v>0</v>
      </c>
      <c r="O349" s="9">
        <v>1</v>
      </c>
      <c r="P349" s="9">
        <v>0</v>
      </c>
      <c r="Q349" s="9">
        <v>1</v>
      </c>
      <c r="R349" s="9">
        <v>0</v>
      </c>
      <c r="S349" s="9">
        <v>1</v>
      </c>
      <c r="T349" s="9">
        <v>1</v>
      </c>
      <c r="U349" s="9">
        <v>1</v>
      </c>
      <c r="V349" s="9">
        <v>0</v>
      </c>
      <c r="W349" s="9">
        <v>1</v>
      </c>
      <c r="X349" s="1">
        <f t="shared" si="3"/>
        <v>12</v>
      </c>
    </row>
    <row r="350" spans="2:24" ht="13.2" x14ac:dyDescent="0.25">
      <c r="B350" s="109"/>
      <c r="C350" s="9">
        <v>2019</v>
      </c>
      <c r="D350" s="9">
        <v>1</v>
      </c>
      <c r="E350" s="9">
        <v>1</v>
      </c>
      <c r="F350" s="9">
        <v>0</v>
      </c>
      <c r="G350" s="9">
        <v>0</v>
      </c>
      <c r="H350" s="9">
        <v>1</v>
      </c>
      <c r="I350" s="9">
        <v>0</v>
      </c>
      <c r="J350" s="9">
        <v>0</v>
      </c>
      <c r="K350" s="9">
        <v>0</v>
      </c>
      <c r="L350" s="9">
        <v>0</v>
      </c>
      <c r="M350" s="9">
        <v>1</v>
      </c>
      <c r="N350" s="9">
        <v>0</v>
      </c>
      <c r="O350" s="9">
        <v>1</v>
      </c>
      <c r="P350" s="9">
        <v>1</v>
      </c>
      <c r="Q350" s="9">
        <v>0</v>
      </c>
      <c r="R350" s="9">
        <v>1</v>
      </c>
      <c r="S350" s="9">
        <v>0</v>
      </c>
      <c r="T350" s="9">
        <v>0</v>
      </c>
      <c r="U350" s="9">
        <v>1</v>
      </c>
      <c r="V350" s="9">
        <v>0</v>
      </c>
      <c r="W350" s="9">
        <v>0</v>
      </c>
      <c r="X350" s="1">
        <f t="shared" si="3"/>
        <v>8</v>
      </c>
    </row>
    <row r="351" spans="2:24" ht="13.2" x14ac:dyDescent="0.25">
      <c r="B351" s="109"/>
      <c r="C351" s="9">
        <v>2020</v>
      </c>
      <c r="D351" s="9">
        <v>1</v>
      </c>
      <c r="E351" s="9">
        <v>1</v>
      </c>
      <c r="F351" s="9">
        <v>1</v>
      </c>
      <c r="G351" s="9">
        <v>0</v>
      </c>
      <c r="H351" s="9">
        <v>0</v>
      </c>
      <c r="I351" s="9">
        <v>1</v>
      </c>
      <c r="J351" s="9">
        <v>0</v>
      </c>
      <c r="K351" s="9">
        <v>0</v>
      </c>
      <c r="L351" s="9">
        <v>0</v>
      </c>
      <c r="M351" s="9">
        <v>0</v>
      </c>
      <c r="N351" s="9">
        <v>0</v>
      </c>
      <c r="O351" s="9">
        <v>1</v>
      </c>
      <c r="P351" s="9">
        <v>1</v>
      </c>
      <c r="Q351" s="9">
        <v>1</v>
      </c>
      <c r="R351" s="9">
        <v>0</v>
      </c>
      <c r="S351" s="9">
        <v>0</v>
      </c>
      <c r="T351" s="9">
        <v>0</v>
      </c>
      <c r="U351" s="9">
        <v>1</v>
      </c>
      <c r="V351" s="9">
        <v>1</v>
      </c>
      <c r="W351" s="9">
        <v>1</v>
      </c>
      <c r="X351" s="1">
        <f t="shared" si="3"/>
        <v>10</v>
      </c>
    </row>
    <row r="352" spans="2:24" ht="13.2" x14ac:dyDescent="0.25">
      <c r="B352" s="109"/>
      <c r="C352" s="9">
        <v>2021</v>
      </c>
      <c r="D352" s="9">
        <v>1</v>
      </c>
      <c r="E352" s="9">
        <v>1</v>
      </c>
      <c r="F352" s="9">
        <v>0</v>
      </c>
      <c r="G352" s="9">
        <v>1</v>
      </c>
      <c r="H352" s="9">
        <v>1</v>
      </c>
      <c r="I352" s="9">
        <v>0</v>
      </c>
      <c r="J352" s="9">
        <v>0</v>
      </c>
      <c r="K352" s="9">
        <v>1</v>
      </c>
      <c r="L352" s="9">
        <v>1</v>
      </c>
      <c r="M352" s="9">
        <v>0</v>
      </c>
      <c r="N352" s="9">
        <v>0</v>
      </c>
      <c r="O352" s="9">
        <v>1</v>
      </c>
      <c r="P352" s="9">
        <v>1</v>
      </c>
      <c r="Q352" s="9">
        <v>0</v>
      </c>
      <c r="R352" s="9">
        <v>1</v>
      </c>
      <c r="S352" s="9">
        <v>1</v>
      </c>
      <c r="T352" s="9">
        <v>0</v>
      </c>
      <c r="U352" s="9">
        <v>0</v>
      </c>
      <c r="V352" s="9">
        <v>1</v>
      </c>
      <c r="W352" s="9">
        <v>1</v>
      </c>
      <c r="X352" s="1">
        <f t="shared" si="3"/>
        <v>12</v>
      </c>
    </row>
    <row r="353" spans="2:24" ht="13.2" x14ac:dyDescent="0.25">
      <c r="B353" s="113"/>
      <c r="C353" s="9">
        <v>2022</v>
      </c>
      <c r="D353" s="9">
        <v>1</v>
      </c>
      <c r="E353" s="9">
        <v>0</v>
      </c>
      <c r="F353" s="9">
        <v>0</v>
      </c>
      <c r="G353" s="9">
        <v>0</v>
      </c>
      <c r="H353" s="9">
        <v>0</v>
      </c>
      <c r="I353" s="9">
        <v>1</v>
      </c>
      <c r="J353" s="9">
        <v>1</v>
      </c>
      <c r="K353" s="9">
        <v>0</v>
      </c>
      <c r="L353" s="9">
        <v>0</v>
      </c>
      <c r="M353" s="9">
        <v>0</v>
      </c>
      <c r="N353" s="9">
        <v>1</v>
      </c>
      <c r="O353" s="9">
        <v>1</v>
      </c>
      <c r="P353" s="9">
        <v>0</v>
      </c>
      <c r="Q353" s="9">
        <v>0</v>
      </c>
      <c r="R353" s="9">
        <v>0</v>
      </c>
      <c r="S353" s="9">
        <v>1</v>
      </c>
      <c r="T353" s="9">
        <v>0</v>
      </c>
      <c r="U353" s="9">
        <v>1</v>
      </c>
      <c r="V353" s="9">
        <v>1</v>
      </c>
      <c r="W353" s="9">
        <v>0</v>
      </c>
      <c r="X353" s="1">
        <f t="shared" si="3"/>
        <v>8</v>
      </c>
    </row>
    <row r="354" spans="2:24" ht="13.2" x14ac:dyDescent="0.25">
      <c r="B354" s="112" t="s">
        <v>168</v>
      </c>
      <c r="C354" s="9">
        <v>2018</v>
      </c>
      <c r="D354" s="9">
        <v>1</v>
      </c>
      <c r="E354" s="9">
        <v>1</v>
      </c>
      <c r="F354" s="9">
        <v>0</v>
      </c>
      <c r="G354" s="9">
        <v>0</v>
      </c>
      <c r="H354" s="9">
        <v>0</v>
      </c>
      <c r="I354" s="9">
        <v>0</v>
      </c>
      <c r="J354" s="9">
        <v>1</v>
      </c>
      <c r="K354" s="9">
        <v>0</v>
      </c>
      <c r="L354" s="9">
        <v>1</v>
      </c>
      <c r="M354" s="9">
        <v>0</v>
      </c>
      <c r="N354" s="9">
        <v>1</v>
      </c>
      <c r="O354" s="9">
        <v>0</v>
      </c>
      <c r="P354" s="9">
        <v>0</v>
      </c>
      <c r="Q354" s="9">
        <v>1</v>
      </c>
      <c r="R354" s="9">
        <v>0</v>
      </c>
      <c r="S354" s="9">
        <v>1</v>
      </c>
      <c r="T354" s="9">
        <v>0</v>
      </c>
      <c r="U354" s="9">
        <v>1</v>
      </c>
      <c r="V354" s="9">
        <v>1</v>
      </c>
      <c r="W354" s="9">
        <v>1</v>
      </c>
      <c r="X354" s="1">
        <f t="shared" si="3"/>
        <v>10</v>
      </c>
    </row>
    <row r="355" spans="2:24" ht="13.2" x14ac:dyDescent="0.25">
      <c r="B355" s="109"/>
      <c r="C355" s="9">
        <v>2019</v>
      </c>
      <c r="D355" s="9">
        <v>1</v>
      </c>
      <c r="E355" s="9">
        <v>1</v>
      </c>
      <c r="F355" s="9">
        <v>1</v>
      </c>
      <c r="G355" s="9">
        <v>0</v>
      </c>
      <c r="H355" s="9">
        <v>1</v>
      </c>
      <c r="I355" s="9">
        <v>0</v>
      </c>
      <c r="J355" s="9">
        <v>1</v>
      </c>
      <c r="K355" s="9">
        <v>0</v>
      </c>
      <c r="L355" s="9">
        <v>0</v>
      </c>
      <c r="M355" s="9">
        <v>1</v>
      </c>
      <c r="N355" s="9">
        <v>0</v>
      </c>
      <c r="O355" s="9">
        <v>1</v>
      </c>
      <c r="P355" s="9">
        <v>0</v>
      </c>
      <c r="Q355" s="9">
        <v>0</v>
      </c>
      <c r="R355" s="9">
        <v>1</v>
      </c>
      <c r="S355" s="9">
        <v>0</v>
      </c>
      <c r="T355" s="9">
        <v>0</v>
      </c>
      <c r="U355" s="9">
        <v>0</v>
      </c>
      <c r="V355" s="9">
        <v>1</v>
      </c>
      <c r="W355" s="9">
        <v>1</v>
      </c>
      <c r="X355" s="1">
        <f t="shared" si="3"/>
        <v>10</v>
      </c>
    </row>
    <row r="356" spans="2:24" ht="13.2" x14ac:dyDescent="0.25">
      <c r="B356" s="109"/>
      <c r="C356" s="9">
        <v>2020</v>
      </c>
      <c r="D356" s="9">
        <v>1</v>
      </c>
      <c r="E356" s="9">
        <v>0</v>
      </c>
      <c r="F356" s="9">
        <v>0</v>
      </c>
      <c r="G356" s="9">
        <v>1</v>
      </c>
      <c r="H356" s="9">
        <v>0</v>
      </c>
      <c r="I356" s="9">
        <v>1</v>
      </c>
      <c r="J356" s="9">
        <v>1</v>
      </c>
      <c r="K356" s="9">
        <v>0</v>
      </c>
      <c r="L356" s="9">
        <v>1</v>
      </c>
      <c r="M356" s="9">
        <v>0</v>
      </c>
      <c r="N356" s="9">
        <v>1</v>
      </c>
      <c r="O356" s="9">
        <v>1</v>
      </c>
      <c r="P356" s="9">
        <v>0</v>
      </c>
      <c r="Q356" s="9">
        <v>0</v>
      </c>
      <c r="R356" s="9">
        <v>0</v>
      </c>
      <c r="S356" s="9">
        <v>1</v>
      </c>
      <c r="T356" s="9">
        <v>1</v>
      </c>
      <c r="U356" s="9">
        <v>0</v>
      </c>
      <c r="V356" s="9">
        <v>1</v>
      </c>
      <c r="W356" s="9">
        <v>1</v>
      </c>
      <c r="X356" s="1">
        <f t="shared" si="3"/>
        <v>11</v>
      </c>
    </row>
    <row r="357" spans="2:24" ht="13.2" x14ac:dyDescent="0.25">
      <c r="B357" s="109"/>
      <c r="C357" s="9">
        <v>2021</v>
      </c>
      <c r="D357" s="9">
        <v>1</v>
      </c>
      <c r="E357" s="9">
        <v>0</v>
      </c>
      <c r="F357" s="9">
        <v>0</v>
      </c>
      <c r="G357" s="9">
        <v>1</v>
      </c>
      <c r="H357" s="9">
        <v>1</v>
      </c>
      <c r="I357" s="9">
        <v>0</v>
      </c>
      <c r="J357" s="9">
        <v>1</v>
      </c>
      <c r="K357" s="9">
        <v>1</v>
      </c>
      <c r="L357" s="9">
        <v>1</v>
      </c>
      <c r="M357" s="9">
        <v>0</v>
      </c>
      <c r="N357" s="9">
        <v>1</v>
      </c>
      <c r="O357" s="9">
        <v>1</v>
      </c>
      <c r="P357" s="9">
        <v>0</v>
      </c>
      <c r="Q357" s="9">
        <v>1</v>
      </c>
      <c r="R357" s="9">
        <v>0</v>
      </c>
      <c r="S357" s="9">
        <v>1</v>
      </c>
      <c r="T357" s="9">
        <v>0</v>
      </c>
      <c r="U357" s="9">
        <v>1</v>
      </c>
      <c r="V357" s="9">
        <v>1</v>
      </c>
      <c r="W357" s="9">
        <v>1</v>
      </c>
      <c r="X357" s="1">
        <f t="shared" si="3"/>
        <v>13</v>
      </c>
    </row>
    <row r="358" spans="2:24" ht="13.2" x14ac:dyDescent="0.25">
      <c r="B358" s="113"/>
      <c r="C358" s="9">
        <v>2022</v>
      </c>
      <c r="D358" s="9">
        <v>1</v>
      </c>
      <c r="E358" s="9">
        <v>1</v>
      </c>
      <c r="F358" s="9">
        <v>0</v>
      </c>
      <c r="G358" s="9">
        <v>0</v>
      </c>
      <c r="H358" s="9">
        <v>0</v>
      </c>
      <c r="I358" s="9">
        <v>0</v>
      </c>
      <c r="J358" s="9">
        <v>1</v>
      </c>
      <c r="K358" s="9">
        <v>0</v>
      </c>
      <c r="L358" s="9">
        <v>0</v>
      </c>
      <c r="M358" s="9">
        <v>1</v>
      </c>
      <c r="N358" s="9">
        <v>0</v>
      </c>
      <c r="O358" s="9">
        <v>1</v>
      </c>
      <c r="P358" s="9">
        <v>0</v>
      </c>
      <c r="Q358" s="9">
        <v>0</v>
      </c>
      <c r="R358" s="9">
        <v>0</v>
      </c>
      <c r="S358" s="9">
        <v>1</v>
      </c>
      <c r="T358" s="9">
        <v>0</v>
      </c>
      <c r="U358" s="9">
        <v>0</v>
      </c>
      <c r="V358" s="9">
        <v>1</v>
      </c>
      <c r="W358" s="9">
        <v>1</v>
      </c>
      <c r="X358" s="1">
        <f t="shared" si="3"/>
        <v>8</v>
      </c>
    </row>
    <row r="359" spans="2:24" ht="13.2" x14ac:dyDescent="0.25">
      <c r="B359" s="112" t="s">
        <v>173</v>
      </c>
      <c r="C359" s="9">
        <v>2018</v>
      </c>
      <c r="D359" s="9">
        <v>1</v>
      </c>
      <c r="E359" s="9">
        <v>0</v>
      </c>
      <c r="F359" s="9">
        <v>0</v>
      </c>
      <c r="G359" s="9">
        <v>0</v>
      </c>
      <c r="H359" s="9">
        <v>1</v>
      </c>
      <c r="I359" s="9">
        <v>0</v>
      </c>
      <c r="J359" s="9">
        <v>1</v>
      </c>
      <c r="K359" s="9">
        <v>1</v>
      </c>
      <c r="L359" s="9">
        <v>1</v>
      </c>
      <c r="M359" s="9">
        <v>1</v>
      </c>
      <c r="N359" s="9">
        <v>1</v>
      </c>
      <c r="O359" s="9">
        <v>0</v>
      </c>
      <c r="P359" s="9">
        <v>0</v>
      </c>
      <c r="Q359" s="9">
        <v>0</v>
      </c>
      <c r="R359" s="9">
        <v>0</v>
      </c>
      <c r="S359" s="9">
        <v>1</v>
      </c>
      <c r="T359" s="9">
        <v>1</v>
      </c>
      <c r="U359" s="9">
        <v>0</v>
      </c>
      <c r="V359" s="9">
        <v>0</v>
      </c>
      <c r="W359" s="9">
        <v>1</v>
      </c>
      <c r="X359" s="1">
        <f t="shared" si="3"/>
        <v>10</v>
      </c>
    </row>
    <row r="360" spans="2:24" ht="13.2" x14ac:dyDescent="0.25">
      <c r="B360" s="109"/>
      <c r="C360" s="9">
        <v>2019</v>
      </c>
      <c r="D360" s="9">
        <v>1</v>
      </c>
      <c r="E360" s="9">
        <v>1</v>
      </c>
      <c r="F360" s="9">
        <v>0</v>
      </c>
      <c r="G360" s="9">
        <v>1</v>
      </c>
      <c r="H360" s="9">
        <v>1</v>
      </c>
      <c r="I360" s="9">
        <v>0</v>
      </c>
      <c r="J360" s="9">
        <v>0</v>
      </c>
      <c r="K360" s="9">
        <v>1</v>
      </c>
      <c r="L360" s="9">
        <v>0</v>
      </c>
      <c r="M360" s="9">
        <v>0</v>
      </c>
      <c r="N360" s="9">
        <v>1</v>
      </c>
      <c r="O360" s="9">
        <v>1</v>
      </c>
      <c r="P360" s="9">
        <v>1</v>
      </c>
      <c r="Q360" s="9">
        <v>0</v>
      </c>
      <c r="R360" s="9">
        <v>1</v>
      </c>
      <c r="S360" s="9">
        <v>1</v>
      </c>
      <c r="T360" s="9">
        <v>1</v>
      </c>
      <c r="U360" s="9">
        <v>1</v>
      </c>
      <c r="V360" s="9">
        <v>0</v>
      </c>
      <c r="W360" s="9">
        <v>1</v>
      </c>
      <c r="X360" s="1">
        <f t="shared" si="3"/>
        <v>13</v>
      </c>
    </row>
    <row r="361" spans="2:24" ht="13.2" x14ac:dyDescent="0.25">
      <c r="B361" s="109"/>
      <c r="C361" s="9">
        <v>2020</v>
      </c>
      <c r="D361" s="9">
        <v>1</v>
      </c>
      <c r="E361" s="9">
        <v>0</v>
      </c>
      <c r="F361" s="9">
        <v>1</v>
      </c>
      <c r="G361" s="9">
        <v>1</v>
      </c>
      <c r="H361" s="9">
        <v>0</v>
      </c>
      <c r="I361" s="9">
        <v>0</v>
      </c>
      <c r="J361" s="9">
        <v>0</v>
      </c>
      <c r="K361" s="9">
        <v>0</v>
      </c>
      <c r="L361" s="9">
        <v>1</v>
      </c>
      <c r="M361" s="9">
        <v>0</v>
      </c>
      <c r="N361" s="9">
        <v>0</v>
      </c>
      <c r="O361" s="9">
        <v>0</v>
      </c>
      <c r="P361" s="9">
        <v>0</v>
      </c>
      <c r="Q361" s="9">
        <v>0</v>
      </c>
      <c r="R361" s="9">
        <v>1</v>
      </c>
      <c r="S361" s="9">
        <v>1</v>
      </c>
      <c r="T361" s="9">
        <v>0</v>
      </c>
      <c r="U361" s="9">
        <v>0</v>
      </c>
      <c r="V361" s="9">
        <v>0</v>
      </c>
      <c r="W361" s="9">
        <v>1</v>
      </c>
      <c r="X361" s="1">
        <f t="shared" si="3"/>
        <v>7</v>
      </c>
    </row>
    <row r="362" spans="2:24" ht="13.2" x14ac:dyDescent="0.25">
      <c r="B362" s="109"/>
      <c r="C362" s="9">
        <v>2021</v>
      </c>
      <c r="D362" s="9">
        <v>1</v>
      </c>
      <c r="E362" s="9">
        <v>0</v>
      </c>
      <c r="F362" s="9">
        <v>0</v>
      </c>
      <c r="G362" s="9">
        <v>1</v>
      </c>
      <c r="H362" s="9">
        <v>1</v>
      </c>
      <c r="I362" s="9">
        <v>0</v>
      </c>
      <c r="J362" s="9">
        <v>1</v>
      </c>
      <c r="K362" s="9">
        <v>1</v>
      </c>
      <c r="L362" s="9">
        <v>1</v>
      </c>
      <c r="M362" s="9">
        <v>0</v>
      </c>
      <c r="N362" s="9">
        <v>1</v>
      </c>
      <c r="O362" s="9">
        <v>0</v>
      </c>
      <c r="P362" s="9">
        <v>1</v>
      </c>
      <c r="Q362" s="9">
        <v>1</v>
      </c>
      <c r="R362" s="9">
        <v>0</v>
      </c>
      <c r="S362" s="9">
        <v>0</v>
      </c>
      <c r="T362" s="9">
        <v>0</v>
      </c>
      <c r="U362" s="9">
        <v>0</v>
      </c>
      <c r="V362" s="9">
        <v>1</v>
      </c>
      <c r="W362" s="9">
        <v>0</v>
      </c>
      <c r="X362" s="1">
        <f t="shared" si="3"/>
        <v>10</v>
      </c>
    </row>
    <row r="363" spans="2:24" ht="13.2" x14ac:dyDescent="0.25">
      <c r="B363" s="113"/>
      <c r="C363" s="9">
        <v>2022</v>
      </c>
      <c r="D363" s="9">
        <v>1</v>
      </c>
      <c r="E363" s="9">
        <v>1</v>
      </c>
      <c r="F363" s="9">
        <v>1</v>
      </c>
      <c r="G363" s="9">
        <v>0</v>
      </c>
      <c r="H363" s="9">
        <v>1</v>
      </c>
      <c r="I363" s="9">
        <v>1</v>
      </c>
      <c r="J363" s="9">
        <v>1</v>
      </c>
      <c r="K363" s="9">
        <v>0</v>
      </c>
      <c r="L363" s="9">
        <v>1</v>
      </c>
      <c r="M363" s="9">
        <v>0</v>
      </c>
      <c r="N363" s="9">
        <v>1</v>
      </c>
      <c r="O363" s="9">
        <v>1</v>
      </c>
      <c r="P363" s="9">
        <v>0</v>
      </c>
      <c r="Q363" s="9">
        <v>1</v>
      </c>
      <c r="R363" s="9">
        <v>1</v>
      </c>
      <c r="S363" s="9">
        <v>0</v>
      </c>
      <c r="T363" s="9">
        <v>0</v>
      </c>
      <c r="U363" s="9">
        <v>0</v>
      </c>
      <c r="V363" s="9">
        <v>1</v>
      </c>
      <c r="W363" s="9">
        <v>0</v>
      </c>
      <c r="X363" s="1">
        <f t="shared" si="3"/>
        <v>12</v>
      </c>
    </row>
    <row r="364" spans="2:24" ht="13.2" x14ac:dyDescent="0.25">
      <c r="B364" s="112" t="s">
        <v>174</v>
      </c>
      <c r="C364" s="9">
        <v>2018</v>
      </c>
      <c r="D364" s="9">
        <v>1</v>
      </c>
      <c r="E364" s="9">
        <v>0</v>
      </c>
      <c r="F364" s="9">
        <v>1</v>
      </c>
      <c r="G364" s="9">
        <v>0</v>
      </c>
      <c r="H364" s="9">
        <v>0</v>
      </c>
      <c r="I364" s="9">
        <v>1</v>
      </c>
      <c r="J364" s="9">
        <v>0</v>
      </c>
      <c r="K364" s="9">
        <v>1</v>
      </c>
      <c r="L364" s="9">
        <v>0</v>
      </c>
      <c r="M364" s="9">
        <v>0</v>
      </c>
      <c r="N364" s="9">
        <v>1</v>
      </c>
      <c r="O364" s="9">
        <v>1</v>
      </c>
      <c r="P364" s="9">
        <v>1</v>
      </c>
      <c r="Q364" s="9">
        <v>1</v>
      </c>
      <c r="R364" s="9">
        <v>0</v>
      </c>
      <c r="S364" s="9">
        <v>0</v>
      </c>
      <c r="T364" s="9">
        <v>1</v>
      </c>
      <c r="U364" s="9">
        <v>1</v>
      </c>
      <c r="V364" s="9">
        <v>1</v>
      </c>
      <c r="W364" s="9">
        <v>1</v>
      </c>
      <c r="X364" s="1">
        <f t="shared" si="3"/>
        <v>12</v>
      </c>
    </row>
    <row r="365" spans="2:24" ht="13.2" x14ac:dyDescent="0.25">
      <c r="B365" s="109"/>
      <c r="C365" s="9">
        <v>2019</v>
      </c>
      <c r="D365" s="9">
        <v>1</v>
      </c>
      <c r="E365" s="9">
        <v>1</v>
      </c>
      <c r="F365" s="9">
        <v>1</v>
      </c>
      <c r="G365" s="9">
        <v>0</v>
      </c>
      <c r="H365" s="9">
        <v>0</v>
      </c>
      <c r="I365" s="9">
        <v>0</v>
      </c>
      <c r="J365" s="9">
        <v>0</v>
      </c>
      <c r="K365" s="9">
        <v>0</v>
      </c>
      <c r="L365" s="9">
        <v>1</v>
      </c>
      <c r="M365" s="9">
        <v>1</v>
      </c>
      <c r="N365" s="9">
        <v>0</v>
      </c>
      <c r="O365" s="9">
        <v>1</v>
      </c>
      <c r="P365" s="9">
        <v>1</v>
      </c>
      <c r="Q365" s="9">
        <v>1</v>
      </c>
      <c r="R365" s="9">
        <v>0</v>
      </c>
      <c r="S365" s="9">
        <v>0</v>
      </c>
      <c r="T365" s="9">
        <v>1</v>
      </c>
      <c r="U365" s="9">
        <v>1</v>
      </c>
      <c r="V365" s="9">
        <v>0</v>
      </c>
      <c r="W365" s="9">
        <v>0</v>
      </c>
      <c r="X365" s="1">
        <f t="shared" si="3"/>
        <v>10</v>
      </c>
    </row>
    <row r="366" spans="2:24" ht="13.2" x14ac:dyDescent="0.25">
      <c r="B366" s="109"/>
      <c r="C366" s="9">
        <v>2020</v>
      </c>
      <c r="D366" s="9">
        <v>1</v>
      </c>
      <c r="E366" s="9">
        <v>1</v>
      </c>
      <c r="F366" s="9">
        <v>0</v>
      </c>
      <c r="G366" s="9">
        <v>1</v>
      </c>
      <c r="H366" s="9">
        <v>0</v>
      </c>
      <c r="I366" s="9">
        <v>1</v>
      </c>
      <c r="J366" s="9">
        <v>0</v>
      </c>
      <c r="K366" s="9">
        <v>0</v>
      </c>
      <c r="L366" s="9">
        <v>1</v>
      </c>
      <c r="M366" s="9">
        <v>1</v>
      </c>
      <c r="N366" s="9">
        <v>1</v>
      </c>
      <c r="O366" s="9">
        <v>1</v>
      </c>
      <c r="P366" s="9">
        <v>1</v>
      </c>
      <c r="Q366" s="9">
        <v>0</v>
      </c>
      <c r="R366" s="9">
        <v>1</v>
      </c>
      <c r="S366" s="9">
        <v>0</v>
      </c>
      <c r="T366" s="9">
        <v>1</v>
      </c>
      <c r="U366" s="9">
        <v>0</v>
      </c>
      <c r="V366" s="9">
        <v>0</v>
      </c>
      <c r="W366" s="9">
        <v>1</v>
      </c>
      <c r="X366" s="1">
        <f t="shared" si="3"/>
        <v>12</v>
      </c>
    </row>
    <row r="367" spans="2:24" ht="13.2" x14ac:dyDescent="0.25">
      <c r="B367" s="109"/>
      <c r="C367" s="9">
        <v>2021</v>
      </c>
      <c r="D367" s="9">
        <v>1</v>
      </c>
      <c r="E367" s="9">
        <v>1</v>
      </c>
      <c r="F367" s="9">
        <v>0</v>
      </c>
      <c r="G367" s="9">
        <v>0</v>
      </c>
      <c r="H367" s="9">
        <v>0</v>
      </c>
      <c r="I367" s="9">
        <v>0</v>
      </c>
      <c r="J367" s="9">
        <v>1</v>
      </c>
      <c r="K367" s="9">
        <v>0</v>
      </c>
      <c r="L367" s="9">
        <v>0</v>
      </c>
      <c r="M367" s="9">
        <v>0</v>
      </c>
      <c r="N367" s="9">
        <v>1</v>
      </c>
      <c r="O367" s="9">
        <v>0</v>
      </c>
      <c r="P367" s="9">
        <v>1</v>
      </c>
      <c r="Q367" s="9">
        <v>0</v>
      </c>
      <c r="R367" s="9">
        <v>1</v>
      </c>
      <c r="S367" s="9">
        <v>0</v>
      </c>
      <c r="T367" s="9">
        <v>1</v>
      </c>
      <c r="U367" s="9">
        <v>0</v>
      </c>
      <c r="V367" s="9">
        <v>1</v>
      </c>
      <c r="W367" s="9">
        <v>0</v>
      </c>
      <c r="X367" s="1">
        <f t="shared" si="3"/>
        <v>8</v>
      </c>
    </row>
    <row r="368" spans="2:24" ht="13.2" x14ac:dyDescent="0.25">
      <c r="B368" s="113"/>
      <c r="C368" s="9">
        <v>2022</v>
      </c>
      <c r="D368" s="9">
        <v>1</v>
      </c>
      <c r="E368" s="9">
        <v>0</v>
      </c>
      <c r="F368" s="9">
        <v>1</v>
      </c>
      <c r="G368" s="9">
        <v>1</v>
      </c>
      <c r="H368" s="9">
        <v>1</v>
      </c>
      <c r="I368" s="9">
        <v>0</v>
      </c>
      <c r="J368" s="9">
        <v>1</v>
      </c>
      <c r="K368" s="9">
        <v>0</v>
      </c>
      <c r="L368" s="9">
        <v>0</v>
      </c>
      <c r="M368" s="9">
        <v>1</v>
      </c>
      <c r="N368" s="9">
        <v>1</v>
      </c>
      <c r="O368" s="9">
        <v>1</v>
      </c>
      <c r="P368" s="9">
        <v>1</v>
      </c>
      <c r="Q368" s="9">
        <v>0</v>
      </c>
      <c r="R368" s="9">
        <v>1</v>
      </c>
      <c r="S368" s="9">
        <v>1</v>
      </c>
      <c r="T368" s="9">
        <v>0</v>
      </c>
      <c r="U368" s="9">
        <v>1</v>
      </c>
      <c r="V368" s="9">
        <v>0</v>
      </c>
      <c r="W368" s="9">
        <v>0</v>
      </c>
      <c r="X368" s="1">
        <f t="shared" si="3"/>
        <v>12</v>
      </c>
    </row>
    <row r="369" spans="2:24" ht="13.2" x14ac:dyDescent="0.25">
      <c r="B369" s="112" t="s">
        <v>175</v>
      </c>
      <c r="C369" s="9">
        <v>2018</v>
      </c>
      <c r="D369" s="9">
        <v>1</v>
      </c>
      <c r="E369" s="9">
        <v>1</v>
      </c>
      <c r="F369" s="9">
        <v>0</v>
      </c>
      <c r="G369" s="9">
        <v>1</v>
      </c>
      <c r="H369" s="9">
        <v>1</v>
      </c>
      <c r="I369" s="9">
        <v>0</v>
      </c>
      <c r="J369" s="9">
        <v>1</v>
      </c>
      <c r="K369" s="9">
        <v>1</v>
      </c>
      <c r="L369" s="9">
        <v>1</v>
      </c>
      <c r="M369" s="9">
        <v>0</v>
      </c>
      <c r="N369" s="9">
        <v>1</v>
      </c>
      <c r="O369" s="9">
        <v>1</v>
      </c>
      <c r="P369" s="9">
        <v>0</v>
      </c>
      <c r="Q369" s="9">
        <v>0</v>
      </c>
      <c r="R369" s="9">
        <v>1</v>
      </c>
      <c r="S369" s="9">
        <v>1</v>
      </c>
      <c r="T369" s="9">
        <v>1</v>
      </c>
      <c r="U369" s="9">
        <v>1</v>
      </c>
      <c r="V369" s="9">
        <v>0</v>
      </c>
      <c r="W369" s="9">
        <v>0</v>
      </c>
      <c r="X369" s="1">
        <f t="shared" si="3"/>
        <v>13</v>
      </c>
    </row>
    <row r="370" spans="2:24" ht="13.2" x14ac:dyDescent="0.25">
      <c r="B370" s="109"/>
      <c r="C370" s="9">
        <v>2019</v>
      </c>
      <c r="D370" s="9">
        <v>1</v>
      </c>
      <c r="E370" s="9">
        <v>1</v>
      </c>
      <c r="F370" s="9">
        <v>0</v>
      </c>
      <c r="G370" s="9">
        <v>0</v>
      </c>
      <c r="H370" s="9">
        <v>0</v>
      </c>
      <c r="I370" s="9">
        <v>0</v>
      </c>
      <c r="J370" s="9">
        <v>1</v>
      </c>
      <c r="K370" s="9">
        <v>1</v>
      </c>
      <c r="L370" s="9">
        <v>1</v>
      </c>
      <c r="M370" s="9">
        <v>0</v>
      </c>
      <c r="N370" s="9">
        <v>0</v>
      </c>
      <c r="O370" s="9">
        <v>0</v>
      </c>
      <c r="P370" s="9">
        <v>0</v>
      </c>
      <c r="Q370" s="9">
        <v>1</v>
      </c>
      <c r="R370" s="9">
        <v>1</v>
      </c>
      <c r="S370" s="9">
        <v>1</v>
      </c>
      <c r="T370" s="9">
        <v>0</v>
      </c>
      <c r="U370" s="9">
        <v>1</v>
      </c>
      <c r="V370" s="9">
        <v>1</v>
      </c>
      <c r="W370" s="9">
        <v>1</v>
      </c>
      <c r="X370" s="1">
        <f t="shared" si="3"/>
        <v>11</v>
      </c>
    </row>
    <row r="371" spans="2:24" ht="13.2" x14ac:dyDescent="0.25">
      <c r="B371" s="109"/>
      <c r="C371" s="9">
        <v>2020</v>
      </c>
      <c r="D371" s="9">
        <v>1</v>
      </c>
      <c r="E371" s="9">
        <v>0</v>
      </c>
      <c r="F371" s="9">
        <v>1</v>
      </c>
      <c r="G371" s="9">
        <v>0</v>
      </c>
      <c r="H371" s="9">
        <v>1</v>
      </c>
      <c r="I371" s="9">
        <v>1</v>
      </c>
      <c r="J371" s="9">
        <v>0</v>
      </c>
      <c r="K371" s="9">
        <v>1</v>
      </c>
      <c r="L371" s="9">
        <v>0</v>
      </c>
      <c r="M371" s="9">
        <v>0</v>
      </c>
      <c r="N371" s="9">
        <v>0</v>
      </c>
      <c r="O371" s="9">
        <v>1</v>
      </c>
      <c r="P371" s="9">
        <v>1</v>
      </c>
      <c r="Q371" s="9">
        <v>0</v>
      </c>
      <c r="R371" s="9">
        <v>0</v>
      </c>
      <c r="S371" s="9">
        <v>1</v>
      </c>
      <c r="T371" s="9">
        <v>0</v>
      </c>
      <c r="U371" s="9">
        <v>0</v>
      </c>
      <c r="V371" s="9">
        <v>0</v>
      </c>
      <c r="W371" s="9">
        <v>0</v>
      </c>
      <c r="X371" s="1">
        <f t="shared" si="3"/>
        <v>8</v>
      </c>
    </row>
    <row r="372" spans="2:24" ht="13.2" x14ac:dyDescent="0.25">
      <c r="B372" s="109"/>
      <c r="C372" s="9">
        <v>2021</v>
      </c>
      <c r="D372" s="9">
        <v>1</v>
      </c>
      <c r="E372" s="9">
        <v>0</v>
      </c>
      <c r="F372" s="9">
        <v>0</v>
      </c>
      <c r="G372" s="9">
        <v>1</v>
      </c>
      <c r="H372" s="9">
        <v>1</v>
      </c>
      <c r="I372" s="9">
        <v>1</v>
      </c>
      <c r="J372" s="9">
        <v>0</v>
      </c>
      <c r="K372" s="9">
        <v>0</v>
      </c>
      <c r="L372" s="9">
        <v>0</v>
      </c>
      <c r="M372" s="9">
        <v>1</v>
      </c>
      <c r="N372" s="9">
        <v>1</v>
      </c>
      <c r="O372" s="9">
        <v>1</v>
      </c>
      <c r="P372" s="9">
        <v>1</v>
      </c>
      <c r="Q372" s="9">
        <v>0</v>
      </c>
      <c r="R372" s="9">
        <v>0</v>
      </c>
      <c r="S372" s="9">
        <v>1</v>
      </c>
      <c r="T372" s="9">
        <v>1</v>
      </c>
      <c r="U372" s="9">
        <v>0</v>
      </c>
      <c r="V372" s="9">
        <v>1</v>
      </c>
      <c r="W372" s="9">
        <v>1</v>
      </c>
      <c r="X372" s="1">
        <f t="shared" si="3"/>
        <v>12</v>
      </c>
    </row>
    <row r="373" spans="2:24" ht="13.2" x14ac:dyDescent="0.25">
      <c r="B373" s="113"/>
      <c r="C373" s="9">
        <v>2022</v>
      </c>
      <c r="D373" s="9">
        <v>1</v>
      </c>
      <c r="E373" s="9">
        <v>1</v>
      </c>
      <c r="F373" s="9">
        <v>1</v>
      </c>
      <c r="G373" s="9">
        <v>1</v>
      </c>
      <c r="H373" s="9">
        <v>0</v>
      </c>
      <c r="I373" s="9">
        <v>1</v>
      </c>
      <c r="J373" s="9">
        <v>0</v>
      </c>
      <c r="K373" s="9">
        <v>1</v>
      </c>
      <c r="L373" s="9">
        <v>0</v>
      </c>
      <c r="M373" s="9">
        <v>0</v>
      </c>
      <c r="N373" s="9">
        <v>1</v>
      </c>
      <c r="O373" s="9">
        <v>1</v>
      </c>
      <c r="P373" s="9">
        <v>0</v>
      </c>
      <c r="Q373" s="9">
        <v>1</v>
      </c>
      <c r="R373" s="9">
        <v>1</v>
      </c>
      <c r="S373" s="9">
        <v>1</v>
      </c>
      <c r="T373" s="9">
        <v>0</v>
      </c>
      <c r="U373" s="9">
        <v>1</v>
      </c>
      <c r="V373" s="9">
        <v>0</v>
      </c>
      <c r="W373" s="9">
        <v>0</v>
      </c>
      <c r="X373" s="1">
        <f t="shared" si="3"/>
        <v>12</v>
      </c>
    </row>
    <row r="374" spans="2:24" ht="13.2" x14ac:dyDescent="0.25">
      <c r="B374" s="112" t="s">
        <v>176</v>
      </c>
      <c r="C374" s="9">
        <v>2018</v>
      </c>
      <c r="D374" s="9">
        <v>1</v>
      </c>
      <c r="E374" s="9">
        <v>0</v>
      </c>
      <c r="F374" s="9">
        <v>1</v>
      </c>
      <c r="G374" s="9">
        <v>0</v>
      </c>
      <c r="H374" s="9">
        <v>1</v>
      </c>
      <c r="I374" s="9">
        <v>0</v>
      </c>
      <c r="J374" s="9">
        <v>0</v>
      </c>
      <c r="K374" s="9">
        <v>0</v>
      </c>
      <c r="L374" s="9">
        <v>0</v>
      </c>
      <c r="M374" s="9">
        <v>1</v>
      </c>
      <c r="N374" s="9">
        <v>1</v>
      </c>
      <c r="O374" s="9">
        <v>1</v>
      </c>
      <c r="P374" s="9">
        <v>0</v>
      </c>
      <c r="Q374" s="9">
        <v>0</v>
      </c>
      <c r="R374" s="9">
        <v>1</v>
      </c>
      <c r="S374" s="9">
        <v>0</v>
      </c>
      <c r="T374" s="9">
        <v>0</v>
      </c>
      <c r="U374" s="9">
        <v>1</v>
      </c>
      <c r="V374" s="9">
        <v>1</v>
      </c>
      <c r="W374" s="9">
        <v>0</v>
      </c>
      <c r="X374" s="1">
        <f t="shared" si="3"/>
        <v>9</v>
      </c>
    </row>
    <row r="375" spans="2:24" ht="13.2" x14ac:dyDescent="0.25">
      <c r="B375" s="109"/>
      <c r="C375" s="9">
        <v>2019</v>
      </c>
      <c r="D375" s="9">
        <v>1</v>
      </c>
      <c r="E375" s="9">
        <v>1</v>
      </c>
      <c r="F375" s="9">
        <v>0</v>
      </c>
      <c r="G375" s="9">
        <v>0</v>
      </c>
      <c r="H375" s="9">
        <v>0</v>
      </c>
      <c r="I375" s="9">
        <v>0</v>
      </c>
      <c r="J375" s="9">
        <v>1</v>
      </c>
      <c r="K375" s="9">
        <v>0</v>
      </c>
      <c r="L375" s="9">
        <v>1</v>
      </c>
      <c r="M375" s="9">
        <v>0</v>
      </c>
      <c r="N375" s="9">
        <v>1</v>
      </c>
      <c r="O375" s="9">
        <v>1</v>
      </c>
      <c r="P375" s="9">
        <v>1</v>
      </c>
      <c r="Q375" s="9">
        <v>1</v>
      </c>
      <c r="R375" s="9">
        <v>0</v>
      </c>
      <c r="S375" s="9">
        <v>1</v>
      </c>
      <c r="T375" s="9">
        <v>1</v>
      </c>
      <c r="U375" s="9">
        <v>1</v>
      </c>
      <c r="V375" s="9">
        <v>1</v>
      </c>
      <c r="W375" s="9">
        <v>0</v>
      </c>
      <c r="X375" s="1">
        <f t="shared" si="3"/>
        <v>12</v>
      </c>
    </row>
    <row r="376" spans="2:24" ht="13.2" x14ac:dyDescent="0.25">
      <c r="B376" s="109"/>
      <c r="C376" s="9">
        <v>2020</v>
      </c>
      <c r="D376" s="9">
        <v>1</v>
      </c>
      <c r="E376" s="9">
        <v>1</v>
      </c>
      <c r="F376" s="9">
        <v>1</v>
      </c>
      <c r="G376" s="9">
        <v>0</v>
      </c>
      <c r="H376" s="9">
        <v>0</v>
      </c>
      <c r="I376" s="9">
        <v>1</v>
      </c>
      <c r="J376" s="9">
        <v>0</v>
      </c>
      <c r="K376" s="9">
        <v>1</v>
      </c>
      <c r="L376" s="9">
        <v>0</v>
      </c>
      <c r="M376" s="9">
        <v>1</v>
      </c>
      <c r="N376" s="9">
        <v>0</v>
      </c>
      <c r="O376" s="9">
        <v>0</v>
      </c>
      <c r="P376" s="9">
        <v>0</v>
      </c>
      <c r="Q376" s="9">
        <v>0</v>
      </c>
      <c r="R376" s="9">
        <v>0</v>
      </c>
      <c r="S376" s="9">
        <v>0</v>
      </c>
      <c r="T376" s="9">
        <v>1</v>
      </c>
      <c r="U376" s="9">
        <v>1</v>
      </c>
      <c r="V376" s="9">
        <v>1</v>
      </c>
      <c r="W376" s="9">
        <v>1</v>
      </c>
      <c r="X376" s="1">
        <f t="shared" si="3"/>
        <v>10</v>
      </c>
    </row>
    <row r="377" spans="2:24" ht="13.2" x14ac:dyDescent="0.25">
      <c r="B377" s="109"/>
      <c r="C377" s="9">
        <v>2021</v>
      </c>
      <c r="D377" s="9">
        <v>1</v>
      </c>
      <c r="E377" s="9">
        <v>0</v>
      </c>
      <c r="F377" s="9">
        <v>1</v>
      </c>
      <c r="G377" s="9">
        <v>1</v>
      </c>
      <c r="H377" s="9">
        <v>0</v>
      </c>
      <c r="I377" s="9">
        <v>1</v>
      </c>
      <c r="J377" s="9">
        <v>1</v>
      </c>
      <c r="K377" s="9">
        <v>1</v>
      </c>
      <c r="L377" s="9">
        <v>0</v>
      </c>
      <c r="M377" s="9">
        <v>1</v>
      </c>
      <c r="N377" s="9">
        <v>0</v>
      </c>
      <c r="O377" s="9">
        <v>0</v>
      </c>
      <c r="P377" s="9">
        <v>1</v>
      </c>
      <c r="Q377" s="9">
        <v>0</v>
      </c>
      <c r="R377" s="9">
        <v>1</v>
      </c>
      <c r="S377" s="9">
        <v>0</v>
      </c>
      <c r="T377" s="9">
        <v>1</v>
      </c>
      <c r="U377" s="9">
        <v>1</v>
      </c>
      <c r="V377" s="9">
        <v>0</v>
      </c>
      <c r="W377" s="9">
        <v>1</v>
      </c>
      <c r="X377" s="1">
        <f t="shared" si="3"/>
        <v>12</v>
      </c>
    </row>
    <row r="378" spans="2:24" ht="13.2" x14ac:dyDescent="0.25">
      <c r="B378" s="113"/>
      <c r="C378" s="9">
        <v>2022</v>
      </c>
      <c r="D378" s="9">
        <v>1</v>
      </c>
      <c r="E378" s="9">
        <v>1</v>
      </c>
      <c r="F378" s="9">
        <v>0</v>
      </c>
      <c r="G378" s="9">
        <v>0</v>
      </c>
      <c r="H378" s="9">
        <v>0</v>
      </c>
      <c r="I378" s="9">
        <v>1</v>
      </c>
      <c r="J378" s="9">
        <v>1</v>
      </c>
      <c r="K378" s="9">
        <v>1</v>
      </c>
      <c r="L378" s="9">
        <v>1</v>
      </c>
      <c r="M378" s="9">
        <v>0</v>
      </c>
      <c r="N378" s="9">
        <v>1</v>
      </c>
      <c r="O378" s="9">
        <v>0</v>
      </c>
      <c r="P378" s="9">
        <v>1</v>
      </c>
      <c r="Q378" s="9">
        <v>0</v>
      </c>
      <c r="R378" s="9">
        <v>1</v>
      </c>
      <c r="S378" s="9">
        <v>1</v>
      </c>
      <c r="T378" s="9">
        <v>0</v>
      </c>
      <c r="U378" s="9">
        <v>1</v>
      </c>
      <c r="V378" s="9">
        <v>0</v>
      </c>
      <c r="W378" s="9">
        <v>0</v>
      </c>
      <c r="X378" s="1">
        <f t="shared" si="3"/>
        <v>11</v>
      </c>
    </row>
    <row r="379" spans="2:24" ht="13.2" x14ac:dyDescent="0.25">
      <c r="B379" s="112" t="s">
        <v>177</v>
      </c>
      <c r="C379" s="9">
        <v>2018</v>
      </c>
      <c r="D379" s="9">
        <v>1</v>
      </c>
      <c r="E379" s="9">
        <v>1</v>
      </c>
      <c r="F379" s="9">
        <v>1</v>
      </c>
      <c r="G379" s="9">
        <v>1</v>
      </c>
      <c r="H379" s="9">
        <v>0</v>
      </c>
      <c r="I379" s="9">
        <v>1</v>
      </c>
      <c r="J379" s="9">
        <v>0</v>
      </c>
      <c r="K379" s="9">
        <v>0</v>
      </c>
      <c r="L379" s="9">
        <v>1</v>
      </c>
      <c r="M379" s="9">
        <v>0</v>
      </c>
      <c r="N379" s="9">
        <v>0</v>
      </c>
      <c r="O379" s="9">
        <v>0</v>
      </c>
      <c r="P379" s="9">
        <v>0</v>
      </c>
      <c r="Q379" s="9">
        <v>0</v>
      </c>
      <c r="R379" s="9">
        <v>0</v>
      </c>
      <c r="S379" s="9">
        <v>0</v>
      </c>
      <c r="T379" s="9">
        <v>1</v>
      </c>
      <c r="U379" s="9">
        <v>1</v>
      </c>
      <c r="V379" s="9">
        <v>1</v>
      </c>
      <c r="W379" s="9">
        <v>1</v>
      </c>
      <c r="X379" s="1">
        <f t="shared" si="3"/>
        <v>10</v>
      </c>
    </row>
    <row r="380" spans="2:24" ht="13.2" x14ac:dyDescent="0.25">
      <c r="B380" s="109"/>
      <c r="C380" s="9">
        <v>2019</v>
      </c>
      <c r="D380" s="9">
        <v>1</v>
      </c>
      <c r="E380" s="9">
        <v>0</v>
      </c>
      <c r="F380" s="9">
        <v>0</v>
      </c>
      <c r="G380" s="9">
        <v>0</v>
      </c>
      <c r="H380" s="9">
        <v>0</v>
      </c>
      <c r="I380" s="9">
        <v>0</v>
      </c>
      <c r="J380" s="9">
        <v>1</v>
      </c>
      <c r="K380" s="9">
        <v>1</v>
      </c>
      <c r="L380" s="9">
        <v>1</v>
      </c>
      <c r="M380" s="9">
        <v>0</v>
      </c>
      <c r="N380" s="9">
        <v>0</v>
      </c>
      <c r="O380" s="9">
        <v>0</v>
      </c>
      <c r="P380" s="9">
        <v>0</v>
      </c>
      <c r="Q380" s="9">
        <v>0</v>
      </c>
      <c r="R380" s="9">
        <v>1</v>
      </c>
      <c r="S380" s="9">
        <v>0</v>
      </c>
      <c r="T380" s="9">
        <v>1</v>
      </c>
      <c r="U380" s="9">
        <v>1</v>
      </c>
      <c r="V380" s="9">
        <v>1</v>
      </c>
      <c r="W380" s="9">
        <v>0</v>
      </c>
      <c r="X380" s="1">
        <f t="shared" si="3"/>
        <v>8</v>
      </c>
    </row>
    <row r="381" spans="2:24" ht="13.2" x14ac:dyDescent="0.25">
      <c r="B381" s="109"/>
      <c r="C381" s="9">
        <v>2020</v>
      </c>
      <c r="D381" s="9">
        <v>1</v>
      </c>
      <c r="E381" s="9">
        <v>1</v>
      </c>
      <c r="F381" s="9">
        <v>0</v>
      </c>
      <c r="G381" s="9">
        <v>1</v>
      </c>
      <c r="H381" s="9">
        <v>1</v>
      </c>
      <c r="I381" s="9">
        <v>0</v>
      </c>
      <c r="J381" s="9">
        <v>1</v>
      </c>
      <c r="K381" s="9">
        <v>0</v>
      </c>
      <c r="L381" s="9">
        <v>0</v>
      </c>
      <c r="M381" s="9">
        <v>0</v>
      </c>
      <c r="N381" s="9">
        <v>0</v>
      </c>
      <c r="O381" s="9">
        <v>0</v>
      </c>
      <c r="P381" s="9">
        <v>1</v>
      </c>
      <c r="Q381" s="9">
        <v>1</v>
      </c>
      <c r="R381" s="9">
        <v>1</v>
      </c>
      <c r="S381" s="9">
        <v>1</v>
      </c>
      <c r="T381" s="9">
        <v>1</v>
      </c>
      <c r="U381" s="9">
        <v>0</v>
      </c>
      <c r="V381" s="9">
        <v>1</v>
      </c>
      <c r="W381" s="9">
        <v>1</v>
      </c>
      <c r="X381" s="1">
        <f t="shared" si="3"/>
        <v>12</v>
      </c>
    </row>
    <row r="382" spans="2:24" ht="13.2" x14ac:dyDescent="0.25">
      <c r="B382" s="109"/>
      <c r="C382" s="9">
        <v>2021</v>
      </c>
      <c r="D382" s="9">
        <v>1</v>
      </c>
      <c r="E382" s="9">
        <v>1</v>
      </c>
      <c r="F382" s="9">
        <v>0</v>
      </c>
      <c r="G382" s="9">
        <v>0</v>
      </c>
      <c r="H382" s="9">
        <v>1</v>
      </c>
      <c r="I382" s="9">
        <v>0</v>
      </c>
      <c r="J382" s="9">
        <v>1</v>
      </c>
      <c r="K382" s="9">
        <v>0</v>
      </c>
      <c r="L382" s="9">
        <v>0</v>
      </c>
      <c r="M382" s="9">
        <v>1</v>
      </c>
      <c r="N382" s="9">
        <v>0</v>
      </c>
      <c r="O382" s="9">
        <v>1</v>
      </c>
      <c r="P382" s="9">
        <v>1</v>
      </c>
      <c r="Q382" s="9">
        <v>1</v>
      </c>
      <c r="R382" s="9">
        <v>1</v>
      </c>
      <c r="S382" s="9">
        <v>0</v>
      </c>
      <c r="T382" s="9">
        <v>1</v>
      </c>
      <c r="U382" s="9">
        <v>0</v>
      </c>
      <c r="V382" s="9">
        <v>1</v>
      </c>
      <c r="W382" s="9">
        <v>1</v>
      </c>
      <c r="X382" s="1">
        <f t="shared" si="3"/>
        <v>12</v>
      </c>
    </row>
    <row r="383" spans="2:24" ht="13.2" x14ac:dyDescent="0.25">
      <c r="B383" s="113"/>
      <c r="C383" s="9">
        <v>2022</v>
      </c>
      <c r="D383" s="9">
        <v>1</v>
      </c>
      <c r="E383" s="9">
        <v>0</v>
      </c>
      <c r="F383" s="9">
        <v>0</v>
      </c>
      <c r="G383" s="9">
        <v>1</v>
      </c>
      <c r="H383" s="9">
        <v>0</v>
      </c>
      <c r="I383" s="9">
        <v>1</v>
      </c>
      <c r="J383" s="9">
        <v>0</v>
      </c>
      <c r="K383" s="9">
        <v>1</v>
      </c>
      <c r="L383" s="9">
        <v>0</v>
      </c>
      <c r="M383" s="9">
        <v>0</v>
      </c>
      <c r="N383" s="9">
        <v>1</v>
      </c>
      <c r="O383" s="9">
        <v>1</v>
      </c>
      <c r="P383" s="9">
        <v>0</v>
      </c>
      <c r="Q383" s="9">
        <v>1</v>
      </c>
      <c r="R383" s="9">
        <v>1</v>
      </c>
      <c r="S383" s="9">
        <v>1</v>
      </c>
      <c r="T383" s="9">
        <v>1</v>
      </c>
      <c r="U383" s="9">
        <v>1</v>
      </c>
      <c r="V383" s="9">
        <v>0</v>
      </c>
      <c r="W383" s="9">
        <v>1</v>
      </c>
      <c r="X383" s="1">
        <f t="shared" si="3"/>
        <v>12</v>
      </c>
    </row>
    <row r="384" spans="2:24" ht="13.2" x14ac:dyDescent="0.25">
      <c r="B384" s="112" t="s">
        <v>178</v>
      </c>
      <c r="C384" s="9">
        <v>2018</v>
      </c>
      <c r="D384" s="9">
        <v>1</v>
      </c>
      <c r="E384" s="9">
        <v>0</v>
      </c>
      <c r="F384" s="9">
        <v>1</v>
      </c>
      <c r="G384" s="9">
        <v>0</v>
      </c>
      <c r="H384" s="9">
        <v>0</v>
      </c>
      <c r="I384" s="9">
        <v>0</v>
      </c>
      <c r="J384" s="9">
        <v>1</v>
      </c>
      <c r="K384" s="9">
        <v>1</v>
      </c>
      <c r="L384" s="9">
        <v>1</v>
      </c>
      <c r="M384" s="9">
        <v>1</v>
      </c>
      <c r="N384" s="9">
        <v>0</v>
      </c>
      <c r="O384" s="9">
        <v>1</v>
      </c>
      <c r="P384" s="9">
        <v>1</v>
      </c>
      <c r="Q384" s="9">
        <v>1</v>
      </c>
      <c r="R384" s="9">
        <v>0</v>
      </c>
      <c r="S384" s="9">
        <v>1</v>
      </c>
      <c r="T384" s="9">
        <v>0</v>
      </c>
      <c r="U384" s="9">
        <v>0</v>
      </c>
      <c r="V384" s="9">
        <v>1</v>
      </c>
      <c r="W384" s="9">
        <v>0</v>
      </c>
      <c r="X384" s="1">
        <f t="shared" si="3"/>
        <v>11</v>
      </c>
    </row>
    <row r="385" spans="2:24" ht="13.2" x14ac:dyDescent="0.25">
      <c r="B385" s="109"/>
      <c r="C385" s="9">
        <v>2019</v>
      </c>
      <c r="D385" s="9">
        <v>1</v>
      </c>
      <c r="E385" s="9">
        <v>0</v>
      </c>
      <c r="F385" s="9">
        <v>0</v>
      </c>
      <c r="G385" s="9">
        <v>1</v>
      </c>
      <c r="H385" s="9">
        <v>0</v>
      </c>
      <c r="I385" s="9">
        <v>0</v>
      </c>
      <c r="J385" s="9">
        <v>1</v>
      </c>
      <c r="K385" s="9">
        <v>0</v>
      </c>
      <c r="L385" s="9">
        <v>1</v>
      </c>
      <c r="M385" s="9">
        <v>0</v>
      </c>
      <c r="N385" s="9">
        <v>0</v>
      </c>
      <c r="O385" s="9">
        <v>0</v>
      </c>
      <c r="P385" s="9">
        <v>1</v>
      </c>
      <c r="Q385" s="9">
        <v>1</v>
      </c>
      <c r="R385" s="9">
        <v>0</v>
      </c>
      <c r="S385" s="9">
        <v>0</v>
      </c>
      <c r="T385" s="9">
        <v>1</v>
      </c>
      <c r="U385" s="9">
        <v>0</v>
      </c>
      <c r="V385" s="9">
        <v>0</v>
      </c>
      <c r="W385" s="9">
        <v>0</v>
      </c>
      <c r="X385" s="1">
        <f t="shared" si="3"/>
        <v>7</v>
      </c>
    </row>
    <row r="386" spans="2:24" ht="13.2" x14ac:dyDescent="0.25">
      <c r="B386" s="109"/>
      <c r="C386" s="9">
        <v>2020</v>
      </c>
      <c r="D386" s="9">
        <v>1</v>
      </c>
      <c r="E386" s="9">
        <v>0</v>
      </c>
      <c r="F386" s="9">
        <v>1</v>
      </c>
      <c r="G386" s="9">
        <v>1</v>
      </c>
      <c r="H386" s="9">
        <v>0</v>
      </c>
      <c r="I386" s="9">
        <v>0</v>
      </c>
      <c r="J386" s="9">
        <v>0</v>
      </c>
      <c r="K386" s="9">
        <v>0</v>
      </c>
      <c r="L386" s="9">
        <v>0</v>
      </c>
      <c r="M386" s="9">
        <v>0</v>
      </c>
      <c r="N386" s="9">
        <v>0</v>
      </c>
      <c r="O386" s="9">
        <v>1</v>
      </c>
      <c r="P386" s="9">
        <v>0</v>
      </c>
      <c r="Q386" s="9">
        <v>0</v>
      </c>
      <c r="R386" s="9">
        <v>1</v>
      </c>
      <c r="S386" s="9">
        <v>1</v>
      </c>
      <c r="T386" s="9">
        <v>0</v>
      </c>
      <c r="U386" s="9">
        <v>1</v>
      </c>
      <c r="V386" s="9">
        <v>1</v>
      </c>
      <c r="W386" s="9">
        <v>1</v>
      </c>
      <c r="X386" s="1">
        <f t="shared" si="3"/>
        <v>9</v>
      </c>
    </row>
    <row r="387" spans="2:24" ht="13.2" x14ac:dyDescent="0.25">
      <c r="B387" s="109"/>
      <c r="C387" s="9">
        <v>2021</v>
      </c>
      <c r="D387" s="9">
        <v>1</v>
      </c>
      <c r="E387" s="9">
        <v>0</v>
      </c>
      <c r="F387" s="9">
        <v>1</v>
      </c>
      <c r="G387" s="9">
        <v>0</v>
      </c>
      <c r="H387" s="9">
        <v>0</v>
      </c>
      <c r="I387" s="9">
        <v>1</v>
      </c>
      <c r="J387" s="9">
        <v>1</v>
      </c>
      <c r="K387" s="9">
        <v>1</v>
      </c>
      <c r="L387" s="9">
        <v>1</v>
      </c>
      <c r="M387" s="9">
        <v>0</v>
      </c>
      <c r="N387" s="9">
        <v>0</v>
      </c>
      <c r="O387" s="9">
        <v>0</v>
      </c>
      <c r="P387" s="9">
        <v>0</v>
      </c>
      <c r="Q387" s="9">
        <v>0</v>
      </c>
      <c r="R387" s="9">
        <v>0</v>
      </c>
      <c r="S387" s="9">
        <v>1</v>
      </c>
      <c r="T387" s="9">
        <v>1</v>
      </c>
      <c r="U387" s="9">
        <v>0</v>
      </c>
      <c r="V387" s="9">
        <v>1</v>
      </c>
      <c r="W387" s="9">
        <v>1</v>
      </c>
      <c r="X387" s="1">
        <f t="shared" si="3"/>
        <v>10</v>
      </c>
    </row>
    <row r="388" spans="2:24" ht="13.2" x14ac:dyDescent="0.25">
      <c r="B388" s="113"/>
      <c r="C388" s="9">
        <v>2022</v>
      </c>
      <c r="D388" s="9">
        <v>1</v>
      </c>
      <c r="E388" s="9">
        <v>0</v>
      </c>
      <c r="F388" s="9">
        <v>1</v>
      </c>
      <c r="G388" s="9">
        <v>1</v>
      </c>
      <c r="H388" s="9">
        <v>1</v>
      </c>
      <c r="I388" s="9">
        <v>1</v>
      </c>
      <c r="J388" s="9">
        <v>1</v>
      </c>
      <c r="K388" s="9">
        <v>1</v>
      </c>
      <c r="L388" s="9">
        <v>1</v>
      </c>
      <c r="M388" s="9">
        <v>1</v>
      </c>
      <c r="N388" s="9">
        <v>0</v>
      </c>
      <c r="O388" s="9">
        <v>1</v>
      </c>
      <c r="P388" s="9">
        <v>1</v>
      </c>
      <c r="Q388" s="9">
        <v>0</v>
      </c>
      <c r="R388" s="9">
        <v>0</v>
      </c>
      <c r="S388" s="9">
        <v>1</v>
      </c>
      <c r="T388" s="9">
        <v>1</v>
      </c>
      <c r="U388" s="9">
        <v>0</v>
      </c>
      <c r="V388" s="9">
        <v>1</v>
      </c>
      <c r="W388" s="9">
        <v>0</v>
      </c>
      <c r="X388" s="1">
        <f t="shared" si="3"/>
        <v>14</v>
      </c>
    </row>
    <row r="389" spans="2:24" ht="13.2" x14ac:dyDescent="0.25">
      <c r="B389" s="112" t="s">
        <v>179</v>
      </c>
      <c r="C389" s="9">
        <v>2018</v>
      </c>
      <c r="D389" s="9">
        <v>1</v>
      </c>
      <c r="E389" s="9">
        <v>0</v>
      </c>
      <c r="F389" s="9">
        <v>0</v>
      </c>
      <c r="G389" s="9">
        <v>0</v>
      </c>
      <c r="H389" s="9">
        <v>1</v>
      </c>
      <c r="I389" s="9">
        <v>1</v>
      </c>
      <c r="J389" s="9">
        <v>0</v>
      </c>
      <c r="K389" s="9">
        <v>0</v>
      </c>
      <c r="L389" s="9">
        <v>1</v>
      </c>
      <c r="M389" s="9">
        <v>0</v>
      </c>
      <c r="N389" s="9">
        <v>1</v>
      </c>
      <c r="O389" s="9">
        <v>1</v>
      </c>
      <c r="P389" s="9">
        <v>1</v>
      </c>
      <c r="Q389" s="9">
        <v>0</v>
      </c>
      <c r="R389" s="9">
        <v>1</v>
      </c>
      <c r="S389" s="9">
        <v>1</v>
      </c>
      <c r="T389" s="9">
        <v>1</v>
      </c>
      <c r="U389" s="9">
        <v>0</v>
      </c>
      <c r="V389" s="9">
        <v>1</v>
      </c>
      <c r="W389" s="9">
        <v>1</v>
      </c>
      <c r="X389" s="1">
        <f t="shared" si="3"/>
        <v>12</v>
      </c>
    </row>
    <row r="390" spans="2:24" ht="13.2" x14ac:dyDescent="0.25">
      <c r="B390" s="109"/>
      <c r="C390" s="9">
        <v>2019</v>
      </c>
      <c r="D390" s="9">
        <v>1</v>
      </c>
      <c r="E390" s="9">
        <v>1</v>
      </c>
      <c r="F390" s="9">
        <v>0</v>
      </c>
      <c r="G390" s="9">
        <v>1</v>
      </c>
      <c r="H390" s="9">
        <v>0</v>
      </c>
      <c r="I390" s="9">
        <v>1</v>
      </c>
      <c r="J390" s="9">
        <v>1</v>
      </c>
      <c r="K390" s="9">
        <v>1</v>
      </c>
      <c r="L390" s="9">
        <v>0</v>
      </c>
      <c r="M390" s="9">
        <v>0</v>
      </c>
      <c r="N390" s="9">
        <v>1</v>
      </c>
      <c r="O390" s="9">
        <v>1</v>
      </c>
      <c r="P390" s="9">
        <v>0</v>
      </c>
      <c r="Q390" s="9">
        <v>1</v>
      </c>
      <c r="R390" s="9">
        <v>1</v>
      </c>
      <c r="S390" s="9">
        <v>1</v>
      </c>
      <c r="T390" s="9">
        <v>1</v>
      </c>
      <c r="U390" s="9">
        <v>1</v>
      </c>
      <c r="V390" s="9">
        <v>1</v>
      </c>
      <c r="W390" s="9">
        <v>1</v>
      </c>
      <c r="X390" s="1">
        <f t="shared" si="3"/>
        <v>15</v>
      </c>
    </row>
    <row r="391" spans="2:24" ht="13.2" x14ac:dyDescent="0.25">
      <c r="B391" s="109"/>
      <c r="C391" s="9">
        <v>2020</v>
      </c>
      <c r="D391" s="9">
        <v>1</v>
      </c>
      <c r="E391" s="9">
        <v>1</v>
      </c>
      <c r="F391" s="9">
        <v>0</v>
      </c>
      <c r="G391" s="9">
        <v>1</v>
      </c>
      <c r="H391" s="9">
        <v>1</v>
      </c>
      <c r="I391" s="9">
        <v>0</v>
      </c>
      <c r="J391" s="9">
        <v>0</v>
      </c>
      <c r="K391" s="9">
        <v>0</v>
      </c>
      <c r="L391" s="9">
        <v>1</v>
      </c>
      <c r="M391" s="9">
        <v>0</v>
      </c>
      <c r="N391" s="9">
        <v>1</v>
      </c>
      <c r="O391" s="9">
        <v>1</v>
      </c>
      <c r="P391" s="9">
        <v>0</v>
      </c>
      <c r="Q391" s="9">
        <v>0</v>
      </c>
      <c r="R391" s="9">
        <v>0</v>
      </c>
      <c r="S391" s="9">
        <v>1</v>
      </c>
      <c r="T391" s="9">
        <v>1</v>
      </c>
      <c r="U391" s="9">
        <v>1</v>
      </c>
      <c r="V391" s="9">
        <v>1</v>
      </c>
      <c r="W391" s="9">
        <v>1</v>
      </c>
      <c r="X391" s="1">
        <f t="shared" si="3"/>
        <v>12</v>
      </c>
    </row>
    <row r="392" spans="2:24" ht="13.2" x14ac:dyDescent="0.25">
      <c r="B392" s="109"/>
      <c r="C392" s="9">
        <v>2021</v>
      </c>
      <c r="D392" s="9">
        <v>1</v>
      </c>
      <c r="E392" s="9">
        <v>1</v>
      </c>
      <c r="F392" s="9">
        <v>0</v>
      </c>
      <c r="G392" s="9">
        <v>1</v>
      </c>
      <c r="H392" s="9">
        <v>0</v>
      </c>
      <c r="I392" s="9">
        <v>0</v>
      </c>
      <c r="J392" s="9">
        <v>0</v>
      </c>
      <c r="K392" s="9">
        <v>1</v>
      </c>
      <c r="L392" s="9">
        <v>1</v>
      </c>
      <c r="M392" s="9">
        <v>1</v>
      </c>
      <c r="N392" s="9">
        <v>1</v>
      </c>
      <c r="O392" s="9">
        <v>1</v>
      </c>
      <c r="P392" s="9">
        <v>0</v>
      </c>
      <c r="Q392" s="9">
        <v>1</v>
      </c>
      <c r="R392" s="9">
        <v>0</v>
      </c>
      <c r="S392" s="9">
        <v>0</v>
      </c>
      <c r="T392" s="9">
        <v>0</v>
      </c>
      <c r="U392" s="9">
        <v>1</v>
      </c>
      <c r="V392" s="9">
        <v>0</v>
      </c>
      <c r="W392" s="9">
        <v>0</v>
      </c>
      <c r="X392" s="1">
        <f t="shared" si="3"/>
        <v>10</v>
      </c>
    </row>
    <row r="393" spans="2:24" ht="13.2" x14ac:dyDescent="0.25">
      <c r="B393" s="113"/>
      <c r="C393" s="9">
        <v>2022</v>
      </c>
      <c r="D393" s="9">
        <v>1</v>
      </c>
      <c r="E393" s="9">
        <v>1</v>
      </c>
      <c r="F393" s="9">
        <v>1</v>
      </c>
      <c r="G393" s="9">
        <v>1</v>
      </c>
      <c r="H393" s="9">
        <v>1</v>
      </c>
      <c r="I393" s="9">
        <v>0</v>
      </c>
      <c r="J393" s="9">
        <v>0</v>
      </c>
      <c r="K393" s="9">
        <v>1</v>
      </c>
      <c r="L393" s="9">
        <v>1</v>
      </c>
      <c r="M393" s="9">
        <v>1</v>
      </c>
      <c r="N393" s="9">
        <v>1</v>
      </c>
      <c r="O393" s="9">
        <v>0</v>
      </c>
      <c r="P393" s="9">
        <v>1</v>
      </c>
      <c r="Q393" s="9">
        <v>1</v>
      </c>
      <c r="R393" s="9">
        <v>0</v>
      </c>
      <c r="S393" s="9">
        <v>0</v>
      </c>
      <c r="T393" s="9">
        <v>0</v>
      </c>
      <c r="U393" s="9">
        <v>0</v>
      </c>
      <c r="V393" s="9">
        <v>1</v>
      </c>
      <c r="W393" s="9">
        <v>1</v>
      </c>
      <c r="X393" s="1">
        <f t="shared" si="3"/>
        <v>13</v>
      </c>
    </row>
    <row r="394" spans="2:24" ht="13.2" x14ac:dyDescent="0.25">
      <c r="B394" s="112" t="s">
        <v>180</v>
      </c>
      <c r="C394" s="9">
        <v>2018</v>
      </c>
      <c r="D394" s="9">
        <v>1</v>
      </c>
      <c r="E394" s="9">
        <v>1</v>
      </c>
      <c r="F394" s="9">
        <v>1</v>
      </c>
      <c r="G394" s="9">
        <v>1</v>
      </c>
      <c r="H394" s="9">
        <v>1</v>
      </c>
      <c r="I394" s="9">
        <v>0</v>
      </c>
      <c r="J394" s="9">
        <v>0</v>
      </c>
      <c r="K394" s="9">
        <v>1</v>
      </c>
      <c r="L394" s="9">
        <v>0</v>
      </c>
      <c r="M394" s="9">
        <v>0</v>
      </c>
      <c r="N394" s="9">
        <v>0</v>
      </c>
      <c r="O394" s="9">
        <v>1</v>
      </c>
      <c r="P394" s="9">
        <v>0</v>
      </c>
      <c r="Q394" s="9">
        <v>1</v>
      </c>
      <c r="R394" s="9">
        <v>1</v>
      </c>
      <c r="S394" s="9">
        <v>1</v>
      </c>
      <c r="T394" s="9">
        <v>0</v>
      </c>
      <c r="U394" s="9">
        <v>0</v>
      </c>
      <c r="V394" s="9">
        <v>1</v>
      </c>
      <c r="W394" s="9">
        <v>1</v>
      </c>
      <c r="X394" s="1">
        <f t="shared" si="3"/>
        <v>12</v>
      </c>
    </row>
    <row r="395" spans="2:24" ht="13.2" x14ac:dyDescent="0.25">
      <c r="B395" s="109"/>
      <c r="C395" s="9">
        <v>2019</v>
      </c>
      <c r="D395" s="9">
        <v>1</v>
      </c>
      <c r="E395" s="9">
        <v>0</v>
      </c>
      <c r="F395" s="9">
        <v>0</v>
      </c>
      <c r="G395" s="9">
        <v>1</v>
      </c>
      <c r="H395" s="9">
        <v>0</v>
      </c>
      <c r="I395" s="9">
        <v>1</v>
      </c>
      <c r="J395" s="9">
        <v>1</v>
      </c>
      <c r="K395" s="9">
        <v>1</v>
      </c>
      <c r="L395" s="9">
        <v>1</v>
      </c>
      <c r="M395" s="9">
        <v>1</v>
      </c>
      <c r="N395" s="9">
        <v>1</v>
      </c>
      <c r="O395" s="9">
        <v>1</v>
      </c>
      <c r="P395" s="9">
        <v>0</v>
      </c>
      <c r="Q395" s="9">
        <v>1</v>
      </c>
      <c r="R395" s="9">
        <v>0</v>
      </c>
      <c r="S395" s="9">
        <v>0</v>
      </c>
      <c r="T395" s="9">
        <v>1</v>
      </c>
      <c r="U395" s="9">
        <v>0</v>
      </c>
      <c r="V395" s="9">
        <v>1</v>
      </c>
      <c r="W395" s="9">
        <v>1</v>
      </c>
      <c r="X395" s="1">
        <f t="shared" si="3"/>
        <v>13</v>
      </c>
    </row>
    <row r="396" spans="2:24" ht="13.2" x14ac:dyDescent="0.25">
      <c r="B396" s="109"/>
      <c r="C396" s="9">
        <v>2020</v>
      </c>
      <c r="D396" s="9">
        <v>1</v>
      </c>
      <c r="E396" s="9">
        <v>0</v>
      </c>
      <c r="F396" s="9">
        <v>0</v>
      </c>
      <c r="G396" s="9">
        <v>0</v>
      </c>
      <c r="H396" s="9">
        <v>0</v>
      </c>
      <c r="I396" s="9">
        <v>0</v>
      </c>
      <c r="J396" s="9">
        <v>1</v>
      </c>
      <c r="K396" s="9">
        <v>0</v>
      </c>
      <c r="L396" s="9">
        <v>0</v>
      </c>
      <c r="M396" s="9">
        <v>0</v>
      </c>
      <c r="N396" s="9">
        <v>0</v>
      </c>
      <c r="O396" s="9">
        <v>0</v>
      </c>
      <c r="P396" s="9">
        <v>0</v>
      </c>
      <c r="Q396" s="9">
        <v>1</v>
      </c>
      <c r="R396" s="9">
        <v>0</v>
      </c>
      <c r="S396" s="9">
        <v>0</v>
      </c>
      <c r="T396" s="9">
        <v>1</v>
      </c>
      <c r="U396" s="9">
        <v>1</v>
      </c>
      <c r="V396" s="9">
        <v>1</v>
      </c>
      <c r="W396" s="9">
        <v>1</v>
      </c>
      <c r="X396" s="1">
        <f t="shared" si="3"/>
        <v>7</v>
      </c>
    </row>
    <row r="397" spans="2:24" ht="13.2" x14ac:dyDescent="0.25">
      <c r="B397" s="109"/>
      <c r="C397" s="9">
        <v>2021</v>
      </c>
      <c r="D397" s="9">
        <v>1</v>
      </c>
      <c r="E397" s="9">
        <v>0</v>
      </c>
      <c r="F397" s="9">
        <v>1</v>
      </c>
      <c r="G397" s="9">
        <v>0</v>
      </c>
      <c r="H397" s="9">
        <v>0</v>
      </c>
      <c r="I397" s="9">
        <v>0</v>
      </c>
      <c r="J397" s="9">
        <v>1</v>
      </c>
      <c r="K397" s="9">
        <v>0</v>
      </c>
      <c r="L397" s="9">
        <v>1</v>
      </c>
      <c r="M397" s="9">
        <v>0</v>
      </c>
      <c r="N397" s="9">
        <v>0</v>
      </c>
      <c r="O397" s="9">
        <v>1</v>
      </c>
      <c r="P397" s="9">
        <v>0</v>
      </c>
      <c r="Q397" s="9">
        <v>1</v>
      </c>
      <c r="R397" s="9">
        <v>0</v>
      </c>
      <c r="S397" s="9">
        <v>1</v>
      </c>
      <c r="T397" s="9">
        <v>1</v>
      </c>
      <c r="U397" s="9">
        <v>0</v>
      </c>
      <c r="V397" s="9">
        <v>0</v>
      </c>
      <c r="W397" s="9">
        <v>1</v>
      </c>
      <c r="X397" s="1">
        <f t="shared" si="3"/>
        <v>9</v>
      </c>
    </row>
    <row r="398" spans="2:24" ht="13.2" x14ac:dyDescent="0.25">
      <c r="B398" s="113"/>
      <c r="C398" s="9">
        <v>2022</v>
      </c>
      <c r="D398" s="9">
        <v>1</v>
      </c>
      <c r="E398" s="9">
        <v>1</v>
      </c>
      <c r="F398" s="9">
        <v>1</v>
      </c>
      <c r="G398" s="9">
        <v>1</v>
      </c>
      <c r="H398" s="9">
        <v>1</v>
      </c>
      <c r="I398" s="9">
        <v>1</v>
      </c>
      <c r="J398" s="9">
        <v>1</v>
      </c>
      <c r="K398" s="9">
        <v>0</v>
      </c>
      <c r="L398" s="9">
        <v>0</v>
      </c>
      <c r="M398" s="9">
        <v>1</v>
      </c>
      <c r="N398" s="9">
        <v>0</v>
      </c>
      <c r="O398" s="9">
        <v>0</v>
      </c>
      <c r="P398" s="9">
        <v>1</v>
      </c>
      <c r="Q398" s="9">
        <v>0</v>
      </c>
      <c r="R398" s="9">
        <v>0</v>
      </c>
      <c r="S398" s="9">
        <v>0</v>
      </c>
      <c r="T398" s="9">
        <v>1</v>
      </c>
      <c r="U398" s="9">
        <v>1</v>
      </c>
      <c r="V398" s="9">
        <v>1</v>
      </c>
      <c r="W398" s="9">
        <v>1</v>
      </c>
      <c r="X398" s="1">
        <f t="shared" si="3"/>
        <v>13</v>
      </c>
    </row>
    <row r="399" spans="2:24" ht="13.2" x14ac:dyDescent="0.25">
      <c r="B399" s="112" t="s">
        <v>181</v>
      </c>
      <c r="C399" s="9">
        <v>2018</v>
      </c>
      <c r="D399" s="9">
        <v>1</v>
      </c>
      <c r="E399" s="9">
        <v>1</v>
      </c>
      <c r="F399" s="9">
        <v>1</v>
      </c>
      <c r="G399" s="9">
        <v>1</v>
      </c>
      <c r="H399" s="9">
        <v>0</v>
      </c>
      <c r="I399" s="9">
        <v>0</v>
      </c>
      <c r="J399" s="9">
        <v>0</v>
      </c>
      <c r="K399" s="9">
        <v>0</v>
      </c>
      <c r="L399" s="9">
        <v>0</v>
      </c>
      <c r="M399" s="9">
        <v>1</v>
      </c>
      <c r="N399" s="9">
        <v>1</v>
      </c>
      <c r="O399" s="9">
        <v>0</v>
      </c>
      <c r="P399" s="9">
        <v>0</v>
      </c>
      <c r="Q399" s="9">
        <v>0</v>
      </c>
      <c r="R399" s="9">
        <v>0</v>
      </c>
      <c r="S399" s="9">
        <v>1</v>
      </c>
      <c r="T399" s="9">
        <v>1</v>
      </c>
      <c r="U399" s="9">
        <v>1</v>
      </c>
      <c r="V399" s="9">
        <v>0</v>
      </c>
      <c r="W399" s="9">
        <v>0</v>
      </c>
      <c r="X399" s="1">
        <f t="shared" si="3"/>
        <v>9</v>
      </c>
    </row>
    <row r="400" spans="2:24" ht="13.2" x14ac:dyDescent="0.25">
      <c r="B400" s="109"/>
      <c r="C400" s="9">
        <v>2019</v>
      </c>
      <c r="D400" s="9">
        <v>1</v>
      </c>
      <c r="E400" s="9">
        <v>0</v>
      </c>
      <c r="F400" s="9">
        <v>0</v>
      </c>
      <c r="G400" s="9">
        <v>1</v>
      </c>
      <c r="H400" s="9">
        <v>1</v>
      </c>
      <c r="I400" s="9">
        <v>0</v>
      </c>
      <c r="J400" s="9">
        <v>0</v>
      </c>
      <c r="K400" s="9">
        <v>0</v>
      </c>
      <c r="L400" s="9">
        <v>0</v>
      </c>
      <c r="M400" s="9">
        <v>0</v>
      </c>
      <c r="N400" s="9">
        <v>0</v>
      </c>
      <c r="O400" s="9">
        <v>0</v>
      </c>
      <c r="P400" s="9">
        <v>0</v>
      </c>
      <c r="Q400" s="9">
        <v>1</v>
      </c>
      <c r="R400" s="9">
        <v>1</v>
      </c>
      <c r="S400" s="9">
        <v>1</v>
      </c>
      <c r="T400" s="9">
        <v>0</v>
      </c>
      <c r="U400" s="9">
        <v>0</v>
      </c>
      <c r="V400" s="9">
        <v>0</v>
      </c>
      <c r="W400" s="9">
        <v>0</v>
      </c>
      <c r="X400" s="1">
        <f t="shared" si="3"/>
        <v>6</v>
      </c>
    </row>
    <row r="401" spans="2:24" ht="13.2" x14ac:dyDescent="0.25">
      <c r="B401" s="109"/>
      <c r="C401" s="9">
        <v>2020</v>
      </c>
      <c r="D401" s="9">
        <v>1</v>
      </c>
      <c r="E401" s="9">
        <v>0</v>
      </c>
      <c r="F401" s="9">
        <v>0</v>
      </c>
      <c r="G401" s="9">
        <v>1</v>
      </c>
      <c r="H401" s="9">
        <v>1</v>
      </c>
      <c r="I401" s="9">
        <v>1</v>
      </c>
      <c r="J401" s="9">
        <v>1</v>
      </c>
      <c r="K401" s="9">
        <v>1</v>
      </c>
      <c r="L401" s="9">
        <v>0</v>
      </c>
      <c r="M401" s="9">
        <v>0</v>
      </c>
      <c r="N401" s="9">
        <v>0</v>
      </c>
      <c r="O401" s="9">
        <v>0</v>
      </c>
      <c r="P401" s="9">
        <v>1</v>
      </c>
      <c r="Q401" s="9">
        <v>1</v>
      </c>
      <c r="R401" s="9">
        <v>0</v>
      </c>
      <c r="S401" s="9">
        <v>0</v>
      </c>
      <c r="T401" s="9">
        <v>1</v>
      </c>
      <c r="U401" s="9">
        <v>0</v>
      </c>
      <c r="V401" s="9">
        <v>0</v>
      </c>
      <c r="W401" s="9">
        <v>0</v>
      </c>
      <c r="X401" s="1">
        <f t="shared" si="3"/>
        <v>9</v>
      </c>
    </row>
    <row r="402" spans="2:24" ht="13.2" x14ac:dyDescent="0.25">
      <c r="B402" s="109"/>
      <c r="C402" s="9">
        <v>2021</v>
      </c>
      <c r="D402" s="9">
        <v>1</v>
      </c>
      <c r="E402" s="9">
        <v>0</v>
      </c>
      <c r="F402" s="9">
        <v>1</v>
      </c>
      <c r="G402" s="9">
        <v>1</v>
      </c>
      <c r="H402" s="9">
        <v>0</v>
      </c>
      <c r="I402" s="9">
        <v>1</v>
      </c>
      <c r="J402" s="9">
        <v>0</v>
      </c>
      <c r="K402" s="9">
        <v>1</v>
      </c>
      <c r="L402" s="9">
        <v>0</v>
      </c>
      <c r="M402" s="9">
        <v>1</v>
      </c>
      <c r="N402" s="9">
        <v>1</v>
      </c>
      <c r="O402" s="9">
        <v>0</v>
      </c>
      <c r="P402" s="9">
        <v>1</v>
      </c>
      <c r="Q402" s="9">
        <v>1</v>
      </c>
      <c r="R402" s="9">
        <v>1</v>
      </c>
      <c r="S402" s="9">
        <v>1</v>
      </c>
      <c r="T402" s="9">
        <v>1</v>
      </c>
      <c r="U402" s="9">
        <v>1</v>
      </c>
      <c r="V402" s="9">
        <v>1</v>
      </c>
      <c r="W402" s="9">
        <v>1</v>
      </c>
      <c r="X402" s="1">
        <f t="shared" si="3"/>
        <v>15</v>
      </c>
    </row>
    <row r="403" spans="2:24" ht="13.2" x14ac:dyDescent="0.25">
      <c r="B403" s="113"/>
      <c r="C403" s="9">
        <v>2022</v>
      </c>
      <c r="D403" s="9">
        <v>1</v>
      </c>
      <c r="E403" s="9">
        <v>1</v>
      </c>
      <c r="F403" s="9">
        <v>1</v>
      </c>
      <c r="G403" s="9">
        <v>1</v>
      </c>
      <c r="H403" s="9">
        <v>1</v>
      </c>
      <c r="I403" s="9">
        <v>0</v>
      </c>
      <c r="J403" s="9">
        <v>0</v>
      </c>
      <c r="K403" s="9">
        <v>1</v>
      </c>
      <c r="L403" s="9">
        <v>1</v>
      </c>
      <c r="M403" s="9">
        <v>1</v>
      </c>
      <c r="N403" s="9">
        <v>1</v>
      </c>
      <c r="O403" s="9">
        <v>1</v>
      </c>
      <c r="P403" s="9">
        <v>0</v>
      </c>
      <c r="Q403" s="9">
        <v>0</v>
      </c>
      <c r="R403" s="9">
        <v>1</v>
      </c>
      <c r="S403" s="9">
        <v>1</v>
      </c>
      <c r="T403" s="9">
        <v>1</v>
      </c>
      <c r="U403" s="9">
        <v>1</v>
      </c>
      <c r="V403" s="9">
        <v>1</v>
      </c>
      <c r="W403" s="9">
        <v>1</v>
      </c>
      <c r="X403" s="1">
        <f t="shared" si="3"/>
        <v>16</v>
      </c>
    </row>
    <row r="404" spans="2:24" ht="13.2" x14ac:dyDescent="0.25">
      <c r="B404" s="112" t="s">
        <v>182</v>
      </c>
      <c r="C404" s="9">
        <v>2018</v>
      </c>
      <c r="D404" s="9">
        <v>1</v>
      </c>
      <c r="E404" s="9">
        <v>0</v>
      </c>
      <c r="F404" s="9">
        <v>1</v>
      </c>
      <c r="G404" s="9">
        <v>0</v>
      </c>
      <c r="H404" s="9">
        <v>0</v>
      </c>
      <c r="I404" s="9">
        <v>0</v>
      </c>
      <c r="J404" s="9">
        <v>1</v>
      </c>
      <c r="K404" s="9">
        <v>1</v>
      </c>
      <c r="L404" s="9">
        <v>1</v>
      </c>
      <c r="M404" s="9">
        <v>0</v>
      </c>
      <c r="N404" s="9">
        <v>1</v>
      </c>
      <c r="O404" s="9">
        <v>0</v>
      </c>
      <c r="P404" s="9">
        <v>0</v>
      </c>
      <c r="Q404" s="9">
        <v>1</v>
      </c>
      <c r="R404" s="9">
        <v>1</v>
      </c>
      <c r="S404" s="9">
        <v>1</v>
      </c>
      <c r="T404" s="9">
        <v>0</v>
      </c>
      <c r="U404" s="9">
        <v>1</v>
      </c>
      <c r="V404" s="9">
        <v>1</v>
      </c>
      <c r="W404" s="9">
        <v>1</v>
      </c>
      <c r="X404" s="1">
        <f t="shared" si="3"/>
        <v>12</v>
      </c>
    </row>
    <row r="405" spans="2:24" ht="13.2" x14ac:dyDescent="0.25">
      <c r="B405" s="109"/>
      <c r="C405" s="9">
        <v>2019</v>
      </c>
      <c r="D405" s="9">
        <v>1</v>
      </c>
      <c r="E405" s="9">
        <v>0</v>
      </c>
      <c r="F405" s="9">
        <v>0</v>
      </c>
      <c r="G405" s="9">
        <v>1</v>
      </c>
      <c r="H405" s="9">
        <v>1</v>
      </c>
      <c r="I405" s="9">
        <v>1</v>
      </c>
      <c r="J405" s="9">
        <v>1</v>
      </c>
      <c r="K405" s="9">
        <v>1</v>
      </c>
      <c r="L405" s="9">
        <v>1</v>
      </c>
      <c r="M405" s="9">
        <v>1</v>
      </c>
      <c r="N405" s="9">
        <v>1</v>
      </c>
      <c r="O405" s="9">
        <v>0</v>
      </c>
      <c r="P405" s="9">
        <v>1</v>
      </c>
      <c r="Q405" s="9">
        <v>1</v>
      </c>
      <c r="R405" s="9">
        <v>1</v>
      </c>
      <c r="S405" s="9">
        <v>1</v>
      </c>
      <c r="T405" s="9">
        <v>1</v>
      </c>
      <c r="U405" s="9">
        <v>1</v>
      </c>
      <c r="V405" s="9">
        <v>0</v>
      </c>
      <c r="W405" s="9">
        <v>0</v>
      </c>
      <c r="X405" s="1">
        <f t="shared" si="3"/>
        <v>15</v>
      </c>
    </row>
    <row r="406" spans="2:24" ht="13.2" x14ac:dyDescent="0.25">
      <c r="B406" s="109"/>
      <c r="C406" s="9">
        <v>2020</v>
      </c>
      <c r="D406" s="9">
        <v>1</v>
      </c>
      <c r="E406" s="9">
        <v>0</v>
      </c>
      <c r="F406" s="9">
        <v>1</v>
      </c>
      <c r="G406" s="9">
        <v>1</v>
      </c>
      <c r="H406" s="9">
        <v>0</v>
      </c>
      <c r="I406" s="9">
        <v>1</v>
      </c>
      <c r="J406" s="9">
        <v>1</v>
      </c>
      <c r="K406" s="9">
        <v>1</v>
      </c>
      <c r="L406" s="9">
        <v>0</v>
      </c>
      <c r="M406" s="9">
        <v>0</v>
      </c>
      <c r="N406" s="9">
        <v>1</v>
      </c>
      <c r="O406" s="9">
        <v>0</v>
      </c>
      <c r="P406" s="9">
        <v>1</v>
      </c>
      <c r="Q406" s="9">
        <v>1</v>
      </c>
      <c r="R406" s="9">
        <v>1</v>
      </c>
      <c r="S406" s="9">
        <v>1</v>
      </c>
      <c r="T406" s="9">
        <v>1</v>
      </c>
      <c r="U406" s="9">
        <v>1</v>
      </c>
      <c r="V406" s="9">
        <v>1</v>
      </c>
      <c r="W406" s="9">
        <v>0</v>
      </c>
      <c r="X406" s="1">
        <f t="shared" si="3"/>
        <v>14</v>
      </c>
    </row>
    <row r="407" spans="2:24" ht="13.2" x14ac:dyDescent="0.25">
      <c r="B407" s="109"/>
      <c r="C407" s="9">
        <v>2021</v>
      </c>
      <c r="D407" s="9">
        <v>1</v>
      </c>
      <c r="E407" s="9">
        <v>0</v>
      </c>
      <c r="F407" s="9">
        <v>1</v>
      </c>
      <c r="G407" s="9">
        <v>1</v>
      </c>
      <c r="H407" s="9">
        <v>0</v>
      </c>
      <c r="I407" s="9">
        <v>1</v>
      </c>
      <c r="J407" s="9">
        <v>0</v>
      </c>
      <c r="K407" s="9">
        <v>0</v>
      </c>
      <c r="L407" s="9">
        <v>0</v>
      </c>
      <c r="M407" s="9">
        <v>0</v>
      </c>
      <c r="N407" s="9">
        <v>0</v>
      </c>
      <c r="O407" s="9">
        <v>1</v>
      </c>
      <c r="P407" s="9">
        <v>0</v>
      </c>
      <c r="Q407" s="9">
        <v>1</v>
      </c>
      <c r="R407" s="9">
        <v>1</v>
      </c>
      <c r="S407" s="9">
        <v>0</v>
      </c>
      <c r="T407" s="9">
        <v>1</v>
      </c>
      <c r="U407" s="9">
        <v>0</v>
      </c>
      <c r="V407" s="9">
        <v>0</v>
      </c>
      <c r="W407" s="9">
        <v>0</v>
      </c>
      <c r="X407" s="1">
        <f t="shared" si="3"/>
        <v>8</v>
      </c>
    </row>
    <row r="408" spans="2:24" ht="13.2" x14ac:dyDescent="0.25">
      <c r="B408" s="113"/>
      <c r="C408" s="9">
        <v>2022</v>
      </c>
      <c r="D408" s="9">
        <v>1</v>
      </c>
      <c r="E408" s="9">
        <v>1</v>
      </c>
      <c r="F408" s="9">
        <v>1</v>
      </c>
      <c r="G408" s="9">
        <v>1</v>
      </c>
      <c r="H408" s="9">
        <v>0</v>
      </c>
      <c r="I408" s="9">
        <v>0</v>
      </c>
      <c r="J408" s="9">
        <v>1</v>
      </c>
      <c r="K408" s="9">
        <v>0</v>
      </c>
      <c r="L408" s="9">
        <v>0</v>
      </c>
      <c r="M408" s="9">
        <v>0</v>
      </c>
      <c r="N408" s="9">
        <v>1</v>
      </c>
      <c r="O408" s="9">
        <v>0</v>
      </c>
      <c r="P408" s="9">
        <v>0</v>
      </c>
      <c r="Q408" s="9">
        <v>1</v>
      </c>
      <c r="R408" s="9">
        <v>1</v>
      </c>
      <c r="S408" s="9">
        <v>0</v>
      </c>
      <c r="T408" s="9">
        <v>0</v>
      </c>
      <c r="U408" s="9">
        <v>0</v>
      </c>
      <c r="V408" s="9">
        <v>0</v>
      </c>
      <c r="W408" s="9">
        <v>0</v>
      </c>
      <c r="X408" s="1">
        <f t="shared" si="3"/>
        <v>8</v>
      </c>
    </row>
    <row r="409" spans="2:24" ht="13.2" x14ac:dyDescent="0.25">
      <c r="B409" s="112" t="s">
        <v>183</v>
      </c>
      <c r="C409" s="9">
        <v>2018</v>
      </c>
      <c r="D409" s="9">
        <v>1</v>
      </c>
      <c r="E409" s="9">
        <v>0</v>
      </c>
      <c r="F409" s="9">
        <v>0</v>
      </c>
      <c r="G409" s="9">
        <v>0</v>
      </c>
      <c r="H409" s="9">
        <v>1</v>
      </c>
      <c r="I409" s="9">
        <v>0</v>
      </c>
      <c r="J409" s="9">
        <v>1</v>
      </c>
      <c r="K409" s="9">
        <v>0</v>
      </c>
      <c r="L409" s="9">
        <v>0</v>
      </c>
      <c r="M409" s="9">
        <v>0</v>
      </c>
      <c r="N409" s="9">
        <v>1</v>
      </c>
      <c r="O409" s="9">
        <v>0</v>
      </c>
      <c r="P409" s="9">
        <v>1</v>
      </c>
      <c r="Q409" s="9">
        <v>0</v>
      </c>
      <c r="R409" s="9">
        <v>0</v>
      </c>
      <c r="S409" s="9">
        <v>0</v>
      </c>
      <c r="T409" s="9">
        <v>0</v>
      </c>
      <c r="U409" s="9">
        <v>1</v>
      </c>
      <c r="V409" s="9">
        <v>0</v>
      </c>
      <c r="W409" s="9">
        <v>0</v>
      </c>
      <c r="X409" s="1">
        <f t="shared" si="3"/>
        <v>6</v>
      </c>
    </row>
    <row r="410" spans="2:24" ht="13.2" x14ac:dyDescent="0.25">
      <c r="B410" s="109"/>
      <c r="C410" s="9">
        <v>2019</v>
      </c>
      <c r="D410" s="9">
        <v>1</v>
      </c>
      <c r="E410" s="9">
        <v>1</v>
      </c>
      <c r="F410" s="9">
        <v>0</v>
      </c>
      <c r="G410" s="9">
        <v>0</v>
      </c>
      <c r="H410" s="9">
        <v>1</v>
      </c>
      <c r="I410" s="9">
        <v>0</v>
      </c>
      <c r="J410" s="9">
        <v>0</v>
      </c>
      <c r="K410" s="9">
        <v>1</v>
      </c>
      <c r="L410" s="9">
        <v>0</v>
      </c>
      <c r="M410" s="9">
        <v>0</v>
      </c>
      <c r="N410" s="9">
        <v>1</v>
      </c>
      <c r="O410" s="9">
        <v>0</v>
      </c>
      <c r="P410" s="9">
        <v>0</v>
      </c>
      <c r="Q410" s="9">
        <v>1</v>
      </c>
      <c r="R410" s="9">
        <v>1</v>
      </c>
      <c r="S410" s="9">
        <v>0</v>
      </c>
      <c r="T410" s="9">
        <v>1</v>
      </c>
      <c r="U410" s="9">
        <v>0</v>
      </c>
      <c r="V410" s="9">
        <v>0</v>
      </c>
      <c r="W410" s="9">
        <v>1</v>
      </c>
      <c r="X410" s="1">
        <f t="shared" si="3"/>
        <v>9</v>
      </c>
    </row>
    <row r="411" spans="2:24" ht="13.2" x14ac:dyDescent="0.25">
      <c r="B411" s="109"/>
      <c r="C411" s="9">
        <v>2020</v>
      </c>
      <c r="D411" s="9">
        <v>1</v>
      </c>
      <c r="E411" s="9">
        <v>0</v>
      </c>
      <c r="F411" s="9">
        <v>0</v>
      </c>
      <c r="G411" s="9">
        <v>1</v>
      </c>
      <c r="H411" s="9">
        <v>1</v>
      </c>
      <c r="I411" s="9">
        <v>0</v>
      </c>
      <c r="J411" s="9">
        <v>1</v>
      </c>
      <c r="K411" s="9">
        <v>0</v>
      </c>
      <c r="L411" s="9">
        <v>0</v>
      </c>
      <c r="M411" s="9">
        <v>0</v>
      </c>
      <c r="N411" s="9">
        <v>1</v>
      </c>
      <c r="O411" s="9">
        <v>1</v>
      </c>
      <c r="P411" s="9">
        <v>1</v>
      </c>
      <c r="Q411" s="9">
        <v>1</v>
      </c>
      <c r="R411" s="9">
        <v>0</v>
      </c>
      <c r="S411" s="9">
        <v>1</v>
      </c>
      <c r="T411" s="9">
        <v>1</v>
      </c>
      <c r="U411" s="9">
        <v>1</v>
      </c>
      <c r="V411" s="9">
        <v>1</v>
      </c>
      <c r="W411" s="9">
        <v>0</v>
      </c>
      <c r="X411" s="1">
        <f t="shared" si="3"/>
        <v>12</v>
      </c>
    </row>
    <row r="412" spans="2:24" ht="13.2" x14ac:dyDescent="0.25">
      <c r="B412" s="109"/>
      <c r="C412" s="9">
        <v>2021</v>
      </c>
      <c r="D412" s="9">
        <v>1</v>
      </c>
      <c r="E412" s="9">
        <v>0</v>
      </c>
      <c r="F412" s="9">
        <v>1</v>
      </c>
      <c r="G412" s="9">
        <v>1</v>
      </c>
      <c r="H412" s="9">
        <v>1</v>
      </c>
      <c r="I412" s="9">
        <v>0</v>
      </c>
      <c r="J412" s="9">
        <v>1</v>
      </c>
      <c r="K412" s="9">
        <v>1</v>
      </c>
      <c r="L412" s="9">
        <v>0</v>
      </c>
      <c r="M412" s="9">
        <v>1</v>
      </c>
      <c r="N412" s="9">
        <v>0</v>
      </c>
      <c r="O412" s="9">
        <v>1</v>
      </c>
      <c r="P412" s="9">
        <v>1</v>
      </c>
      <c r="Q412" s="9">
        <v>1</v>
      </c>
      <c r="R412" s="9">
        <v>1</v>
      </c>
      <c r="S412" s="9">
        <v>1</v>
      </c>
      <c r="T412" s="9">
        <v>0</v>
      </c>
      <c r="U412" s="9">
        <v>1</v>
      </c>
      <c r="V412" s="9">
        <v>0</v>
      </c>
      <c r="W412" s="9">
        <v>0</v>
      </c>
      <c r="X412" s="1">
        <f t="shared" si="3"/>
        <v>13</v>
      </c>
    </row>
    <row r="413" spans="2:24" ht="13.2" x14ac:dyDescent="0.25">
      <c r="B413" s="113"/>
      <c r="C413" s="9">
        <v>2022</v>
      </c>
      <c r="D413" s="9">
        <v>1</v>
      </c>
      <c r="E413" s="9">
        <v>0</v>
      </c>
      <c r="F413" s="9">
        <v>0</v>
      </c>
      <c r="G413" s="9">
        <v>1</v>
      </c>
      <c r="H413" s="9">
        <v>1</v>
      </c>
      <c r="I413" s="9">
        <v>0</v>
      </c>
      <c r="J413" s="9">
        <v>0</v>
      </c>
      <c r="K413" s="9">
        <v>0</v>
      </c>
      <c r="L413" s="9">
        <v>1</v>
      </c>
      <c r="M413" s="9">
        <v>0</v>
      </c>
      <c r="N413" s="9">
        <v>0</v>
      </c>
      <c r="O413" s="9">
        <v>1</v>
      </c>
      <c r="P413" s="9">
        <v>0</v>
      </c>
      <c r="Q413" s="9">
        <v>1</v>
      </c>
      <c r="R413" s="9">
        <v>0</v>
      </c>
      <c r="S413" s="9">
        <v>0</v>
      </c>
      <c r="T413" s="9">
        <v>1</v>
      </c>
      <c r="U413" s="9">
        <v>0</v>
      </c>
      <c r="V413" s="9">
        <v>0</v>
      </c>
      <c r="W413" s="9">
        <v>1</v>
      </c>
      <c r="X413" s="1">
        <f t="shared" si="3"/>
        <v>8</v>
      </c>
    </row>
    <row r="414" spans="2:24" ht="13.2" x14ac:dyDescent="0.25">
      <c r="B414" s="112" t="s">
        <v>184</v>
      </c>
      <c r="C414" s="9">
        <v>2018</v>
      </c>
      <c r="D414" s="9">
        <v>1</v>
      </c>
      <c r="E414" s="9">
        <v>1</v>
      </c>
      <c r="F414" s="9">
        <v>0</v>
      </c>
      <c r="G414" s="9">
        <v>0</v>
      </c>
      <c r="H414" s="9">
        <v>0</v>
      </c>
      <c r="I414" s="9">
        <v>0</v>
      </c>
      <c r="J414" s="9">
        <v>0</v>
      </c>
      <c r="K414" s="9">
        <v>1</v>
      </c>
      <c r="L414" s="9">
        <v>0</v>
      </c>
      <c r="M414" s="9">
        <v>0</v>
      </c>
      <c r="N414" s="9">
        <v>0</v>
      </c>
      <c r="O414" s="9">
        <v>1</v>
      </c>
      <c r="P414" s="9">
        <v>0</v>
      </c>
      <c r="Q414" s="9">
        <v>1</v>
      </c>
      <c r="R414" s="9">
        <v>1</v>
      </c>
      <c r="S414" s="9">
        <v>0</v>
      </c>
      <c r="T414" s="9">
        <v>1</v>
      </c>
      <c r="U414" s="9">
        <v>0</v>
      </c>
      <c r="V414" s="9">
        <v>0</v>
      </c>
      <c r="W414" s="9">
        <v>0</v>
      </c>
      <c r="X414" s="1">
        <f t="shared" si="3"/>
        <v>7</v>
      </c>
    </row>
    <row r="415" spans="2:24" ht="13.2" x14ac:dyDescent="0.25">
      <c r="B415" s="109"/>
      <c r="C415" s="9">
        <v>2019</v>
      </c>
      <c r="D415" s="9">
        <v>1</v>
      </c>
      <c r="E415" s="9">
        <v>0</v>
      </c>
      <c r="F415" s="9">
        <v>0</v>
      </c>
      <c r="G415" s="9">
        <v>0</v>
      </c>
      <c r="H415" s="9">
        <v>0</v>
      </c>
      <c r="I415" s="9">
        <v>1</v>
      </c>
      <c r="J415" s="9">
        <v>1</v>
      </c>
      <c r="K415" s="9">
        <v>1</v>
      </c>
      <c r="L415" s="9">
        <v>0</v>
      </c>
      <c r="M415" s="9">
        <v>0</v>
      </c>
      <c r="N415" s="9">
        <v>1</v>
      </c>
      <c r="O415" s="9">
        <v>1</v>
      </c>
      <c r="P415" s="9">
        <v>1</v>
      </c>
      <c r="Q415" s="9">
        <v>1</v>
      </c>
      <c r="R415" s="9">
        <v>0</v>
      </c>
      <c r="S415" s="9">
        <v>0</v>
      </c>
      <c r="T415" s="9">
        <v>1</v>
      </c>
      <c r="U415" s="9">
        <v>1</v>
      </c>
      <c r="V415" s="9">
        <v>1</v>
      </c>
      <c r="W415" s="9">
        <v>1</v>
      </c>
      <c r="X415" s="1">
        <f t="shared" si="3"/>
        <v>12</v>
      </c>
    </row>
    <row r="416" spans="2:24" ht="13.2" x14ac:dyDescent="0.25">
      <c r="B416" s="109"/>
      <c r="C416" s="9">
        <v>2020</v>
      </c>
      <c r="D416" s="9">
        <v>1</v>
      </c>
      <c r="E416" s="9">
        <v>0</v>
      </c>
      <c r="F416" s="9">
        <v>1</v>
      </c>
      <c r="G416" s="9">
        <v>0</v>
      </c>
      <c r="H416" s="9">
        <v>1</v>
      </c>
      <c r="I416" s="9">
        <v>1</v>
      </c>
      <c r="J416" s="9">
        <v>1</v>
      </c>
      <c r="K416" s="9">
        <v>1</v>
      </c>
      <c r="L416" s="9">
        <v>0</v>
      </c>
      <c r="M416" s="9">
        <v>0</v>
      </c>
      <c r="N416" s="9">
        <v>1</v>
      </c>
      <c r="O416" s="9">
        <v>1</v>
      </c>
      <c r="P416" s="9">
        <v>1</v>
      </c>
      <c r="Q416" s="9">
        <v>1</v>
      </c>
      <c r="R416" s="9">
        <v>1</v>
      </c>
      <c r="S416" s="9">
        <v>0</v>
      </c>
      <c r="T416" s="9">
        <v>1</v>
      </c>
      <c r="U416" s="9">
        <v>0</v>
      </c>
      <c r="V416" s="9">
        <v>0</v>
      </c>
      <c r="W416" s="9">
        <v>0</v>
      </c>
      <c r="X416" s="1">
        <f t="shared" si="3"/>
        <v>12</v>
      </c>
    </row>
    <row r="417" spans="2:24" ht="13.2" x14ac:dyDescent="0.25">
      <c r="B417" s="109"/>
      <c r="C417" s="9">
        <v>2021</v>
      </c>
      <c r="D417" s="9">
        <v>1</v>
      </c>
      <c r="E417" s="9">
        <v>1</v>
      </c>
      <c r="F417" s="9">
        <v>1</v>
      </c>
      <c r="G417" s="9">
        <v>0</v>
      </c>
      <c r="H417" s="9">
        <v>0</v>
      </c>
      <c r="I417" s="9">
        <v>0</v>
      </c>
      <c r="J417" s="9">
        <v>0</v>
      </c>
      <c r="K417" s="9">
        <v>1</v>
      </c>
      <c r="L417" s="9">
        <v>0</v>
      </c>
      <c r="M417" s="9">
        <v>1</v>
      </c>
      <c r="N417" s="9">
        <v>1</v>
      </c>
      <c r="O417" s="9">
        <v>0</v>
      </c>
      <c r="P417" s="9">
        <v>0</v>
      </c>
      <c r="Q417" s="9">
        <v>1</v>
      </c>
      <c r="R417" s="9">
        <v>1</v>
      </c>
      <c r="S417" s="9">
        <v>0</v>
      </c>
      <c r="T417" s="9">
        <v>0</v>
      </c>
      <c r="U417" s="9">
        <v>0</v>
      </c>
      <c r="V417" s="9">
        <v>0</v>
      </c>
      <c r="W417" s="9">
        <v>1</v>
      </c>
      <c r="X417" s="1">
        <f t="shared" si="3"/>
        <v>9</v>
      </c>
    </row>
    <row r="418" spans="2:24" ht="13.2" x14ac:dyDescent="0.25">
      <c r="B418" s="113"/>
      <c r="C418" s="9">
        <v>2022</v>
      </c>
      <c r="D418" s="9">
        <v>1</v>
      </c>
      <c r="E418" s="9">
        <v>0</v>
      </c>
      <c r="F418" s="9">
        <v>0</v>
      </c>
      <c r="G418" s="9">
        <v>1</v>
      </c>
      <c r="H418" s="9">
        <v>1</v>
      </c>
      <c r="I418" s="9">
        <v>0</v>
      </c>
      <c r="J418" s="9">
        <v>0</v>
      </c>
      <c r="K418" s="9">
        <v>1</v>
      </c>
      <c r="L418" s="9">
        <v>0</v>
      </c>
      <c r="M418" s="9">
        <v>1</v>
      </c>
      <c r="N418" s="9">
        <v>1</v>
      </c>
      <c r="O418" s="9">
        <v>1</v>
      </c>
      <c r="P418" s="9">
        <v>1</v>
      </c>
      <c r="Q418" s="9">
        <v>1</v>
      </c>
      <c r="R418" s="9">
        <v>0</v>
      </c>
      <c r="S418" s="9">
        <v>1</v>
      </c>
      <c r="T418" s="9">
        <v>0</v>
      </c>
      <c r="U418" s="9">
        <v>0</v>
      </c>
      <c r="V418" s="9">
        <v>1</v>
      </c>
      <c r="W418" s="9">
        <v>1</v>
      </c>
      <c r="X418" s="1">
        <f t="shared" si="3"/>
        <v>12</v>
      </c>
    </row>
    <row r="419" spans="2:24" ht="13.2" x14ac:dyDescent="0.25">
      <c r="B419" s="112" t="s">
        <v>185</v>
      </c>
      <c r="C419" s="9">
        <v>2018</v>
      </c>
      <c r="D419" s="9">
        <v>1</v>
      </c>
      <c r="E419" s="9">
        <v>1</v>
      </c>
      <c r="F419" s="9">
        <v>1</v>
      </c>
      <c r="G419" s="9">
        <v>1</v>
      </c>
      <c r="H419" s="9">
        <v>1</v>
      </c>
      <c r="I419" s="9">
        <v>1</v>
      </c>
      <c r="J419" s="9">
        <v>1</v>
      </c>
      <c r="K419" s="9">
        <v>0</v>
      </c>
      <c r="L419" s="9">
        <v>0</v>
      </c>
      <c r="M419" s="9">
        <v>1</v>
      </c>
      <c r="N419" s="9">
        <v>1</v>
      </c>
      <c r="O419" s="9">
        <v>0</v>
      </c>
      <c r="P419" s="9">
        <v>0</v>
      </c>
      <c r="Q419" s="9">
        <v>0</v>
      </c>
      <c r="R419" s="9">
        <v>0</v>
      </c>
      <c r="S419" s="9">
        <v>1</v>
      </c>
      <c r="T419" s="9">
        <v>0</v>
      </c>
      <c r="U419" s="9">
        <v>0</v>
      </c>
      <c r="V419" s="9">
        <v>0</v>
      </c>
      <c r="W419" s="9">
        <v>0</v>
      </c>
      <c r="X419" s="1">
        <f t="shared" si="3"/>
        <v>10</v>
      </c>
    </row>
    <row r="420" spans="2:24" ht="13.2" x14ac:dyDescent="0.25">
      <c r="B420" s="109"/>
      <c r="C420" s="9">
        <v>2019</v>
      </c>
      <c r="D420" s="9">
        <v>1</v>
      </c>
      <c r="E420" s="9">
        <v>1</v>
      </c>
      <c r="F420" s="9">
        <v>1</v>
      </c>
      <c r="G420" s="9">
        <v>1</v>
      </c>
      <c r="H420" s="9">
        <v>1</v>
      </c>
      <c r="I420" s="9">
        <v>0</v>
      </c>
      <c r="J420" s="9">
        <v>0</v>
      </c>
      <c r="K420" s="9">
        <v>0</v>
      </c>
      <c r="L420" s="9">
        <v>0</v>
      </c>
      <c r="M420" s="9">
        <v>0</v>
      </c>
      <c r="N420" s="9">
        <v>1</v>
      </c>
      <c r="O420" s="9">
        <v>1</v>
      </c>
      <c r="P420" s="9">
        <v>0</v>
      </c>
      <c r="Q420" s="9">
        <v>0</v>
      </c>
      <c r="R420" s="9">
        <v>0</v>
      </c>
      <c r="S420" s="9">
        <v>0</v>
      </c>
      <c r="T420" s="9">
        <v>0</v>
      </c>
      <c r="U420" s="9">
        <v>1</v>
      </c>
      <c r="V420" s="9">
        <v>0</v>
      </c>
      <c r="W420" s="9">
        <v>1</v>
      </c>
      <c r="X420" s="1">
        <f t="shared" si="3"/>
        <v>9</v>
      </c>
    </row>
    <row r="421" spans="2:24" ht="13.2" x14ac:dyDescent="0.25">
      <c r="B421" s="109"/>
      <c r="C421" s="9">
        <v>2020</v>
      </c>
      <c r="D421" s="9">
        <v>1</v>
      </c>
      <c r="E421" s="9">
        <v>0</v>
      </c>
      <c r="F421" s="9">
        <v>0</v>
      </c>
      <c r="G421" s="9">
        <v>0</v>
      </c>
      <c r="H421" s="9">
        <v>1</v>
      </c>
      <c r="I421" s="9">
        <v>1</v>
      </c>
      <c r="J421" s="9">
        <v>0</v>
      </c>
      <c r="K421" s="9">
        <v>1</v>
      </c>
      <c r="L421" s="9">
        <v>1</v>
      </c>
      <c r="M421" s="9">
        <v>0</v>
      </c>
      <c r="N421" s="9">
        <v>1</v>
      </c>
      <c r="O421" s="9">
        <v>1</v>
      </c>
      <c r="P421" s="9">
        <v>1</v>
      </c>
      <c r="Q421" s="9">
        <v>1</v>
      </c>
      <c r="R421" s="9">
        <v>0</v>
      </c>
      <c r="S421" s="9">
        <v>1</v>
      </c>
      <c r="T421" s="9">
        <v>1</v>
      </c>
      <c r="U421" s="9">
        <v>0</v>
      </c>
      <c r="V421" s="9">
        <v>0</v>
      </c>
      <c r="W421" s="9">
        <v>1</v>
      </c>
      <c r="X421" s="1">
        <f t="shared" si="3"/>
        <v>12</v>
      </c>
    </row>
    <row r="422" spans="2:24" ht="13.2" x14ac:dyDescent="0.25">
      <c r="B422" s="109"/>
      <c r="C422" s="9">
        <v>2021</v>
      </c>
      <c r="D422" s="9">
        <v>1</v>
      </c>
      <c r="E422" s="9">
        <v>1</v>
      </c>
      <c r="F422" s="9">
        <v>1</v>
      </c>
      <c r="G422" s="9">
        <v>1</v>
      </c>
      <c r="H422" s="9">
        <v>1</v>
      </c>
      <c r="I422" s="9">
        <v>0</v>
      </c>
      <c r="J422" s="9">
        <v>1</v>
      </c>
      <c r="K422" s="9">
        <v>1</v>
      </c>
      <c r="L422" s="9">
        <v>0</v>
      </c>
      <c r="M422" s="9">
        <v>0</v>
      </c>
      <c r="N422" s="9">
        <v>1</v>
      </c>
      <c r="O422" s="9">
        <v>1</v>
      </c>
      <c r="P422" s="9">
        <v>1</v>
      </c>
      <c r="Q422" s="9">
        <v>0</v>
      </c>
      <c r="R422" s="9">
        <v>0</v>
      </c>
      <c r="S422" s="9">
        <v>0</v>
      </c>
      <c r="T422" s="9">
        <v>1</v>
      </c>
      <c r="U422" s="9">
        <v>1</v>
      </c>
      <c r="V422" s="9">
        <v>0</v>
      </c>
      <c r="W422" s="9">
        <v>0</v>
      </c>
      <c r="X422" s="1">
        <f t="shared" si="3"/>
        <v>12</v>
      </c>
    </row>
    <row r="423" spans="2:24" ht="13.2" x14ac:dyDescent="0.25">
      <c r="B423" s="113"/>
      <c r="C423" s="9">
        <v>2022</v>
      </c>
      <c r="D423" s="9">
        <v>1</v>
      </c>
      <c r="E423" s="9">
        <v>1</v>
      </c>
      <c r="F423" s="9">
        <v>0</v>
      </c>
      <c r="G423" s="9">
        <v>0</v>
      </c>
      <c r="H423" s="9">
        <v>0</v>
      </c>
      <c r="I423" s="9">
        <v>1</v>
      </c>
      <c r="J423" s="9">
        <v>1</v>
      </c>
      <c r="K423" s="9">
        <v>1</v>
      </c>
      <c r="L423" s="9">
        <v>0</v>
      </c>
      <c r="M423" s="9">
        <v>1</v>
      </c>
      <c r="N423" s="9">
        <v>0</v>
      </c>
      <c r="O423" s="9">
        <v>0</v>
      </c>
      <c r="P423" s="9">
        <v>0</v>
      </c>
      <c r="Q423" s="9">
        <v>0</v>
      </c>
      <c r="R423" s="9">
        <v>0</v>
      </c>
      <c r="S423" s="9">
        <v>1</v>
      </c>
      <c r="T423" s="9">
        <v>1</v>
      </c>
      <c r="U423" s="9">
        <v>0</v>
      </c>
      <c r="V423" s="9">
        <v>1</v>
      </c>
      <c r="W423" s="9">
        <v>0</v>
      </c>
      <c r="X423" s="1">
        <f t="shared" si="3"/>
        <v>9</v>
      </c>
    </row>
    <row r="424" spans="2:24" ht="13.2" x14ac:dyDescent="0.25">
      <c r="B424" s="112" t="s">
        <v>186</v>
      </c>
      <c r="C424" s="9">
        <v>2018</v>
      </c>
      <c r="D424" s="9">
        <v>1</v>
      </c>
      <c r="E424" s="9">
        <v>0</v>
      </c>
      <c r="F424" s="9">
        <v>0</v>
      </c>
      <c r="G424" s="9">
        <v>0</v>
      </c>
      <c r="H424" s="9">
        <v>0</v>
      </c>
      <c r="I424" s="9">
        <v>1</v>
      </c>
      <c r="J424" s="9">
        <v>1</v>
      </c>
      <c r="K424" s="9">
        <v>0</v>
      </c>
      <c r="L424" s="9">
        <v>0</v>
      </c>
      <c r="M424" s="9">
        <v>1</v>
      </c>
      <c r="N424" s="9">
        <v>1</v>
      </c>
      <c r="O424" s="9">
        <v>1</v>
      </c>
      <c r="P424" s="9">
        <v>1</v>
      </c>
      <c r="Q424" s="9">
        <v>0</v>
      </c>
      <c r="R424" s="9">
        <v>1</v>
      </c>
      <c r="S424" s="9">
        <v>0</v>
      </c>
      <c r="T424" s="9">
        <v>0</v>
      </c>
      <c r="U424" s="9">
        <v>0</v>
      </c>
      <c r="V424" s="9">
        <v>1</v>
      </c>
      <c r="W424" s="9">
        <v>1</v>
      </c>
      <c r="X424" s="1">
        <f t="shared" si="3"/>
        <v>10</v>
      </c>
    </row>
    <row r="425" spans="2:24" ht="13.2" x14ac:dyDescent="0.25">
      <c r="B425" s="109"/>
      <c r="C425" s="9">
        <v>2019</v>
      </c>
      <c r="D425" s="9">
        <v>1</v>
      </c>
      <c r="E425" s="9">
        <v>0</v>
      </c>
      <c r="F425" s="9">
        <v>1</v>
      </c>
      <c r="G425" s="9">
        <v>1</v>
      </c>
      <c r="H425" s="9">
        <v>1</v>
      </c>
      <c r="I425" s="9">
        <v>1</v>
      </c>
      <c r="J425" s="9">
        <v>1</v>
      </c>
      <c r="K425" s="9">
        <v>0</v>
      </c>
      <c r="L425" s="9">
        <v>1</v>
      </c>
      <c r="M425" s="9">
        <v>0</v>
      </c>
      <c r="N425" s="9">
        <v>1</v>
      </c>
      <c r="O425" s="9">
        <v>0</v>
      </c>
      <c r="P425" s="9">
        <v>0</v>
      </c>
      <c r="Q425" s="9">
        <v>1</v>
      </c>
      <c r="R425" s="9">
        <v>1</v>
      </c>
      <c r="S425" s="9">
        <v>1</v>
      </c>
      <c r="T425" s="9">
        <v>0</v>
      </c>
      <c r="U425" s="9">
        <v>1</v>
      </c>
      <c r="V425" s="9">
        <v>1</v>
      </c>
      <c r="W425" s="9">
        <v>1</v>
      </c>
      <c r="X425" s="1">
        <f t="shared" si="3"/>
        <v>14</v>
      </c>
    </row>
    <row r="426" spans="2:24" ht="13.2" x14ac:dyDescent="0.25">
      <c r="B426" s="109"/>
      <c r="C426" s="9">
        <v>2020</v>
      </c>
      <c r="D426" s="9">
        <v>1</v>
      </c>
      <c r="E426" s="9">
        <v>0</v>
      </c>
      <c r="F426" s="9">
        <v>1</v>
      </c>
      <c r="G426" s="9">
        <v>0</v>
      </c>
      <c r="H426" s="9">
        <v>1</v>
      </c>
      <c r="I426" s="9">
        <v>0</v>
      </c>
      <c r="J426" s="9">
        <v>0</v>
      </c>
      <c r="K426" s="9">
        <v>0</v>
      </c>
      <c r="L426" s="9">
        <v>0</v>
      </c>
      <c r="M426" s="9">
        <v>0</v>
      </c>
      <c r="N426" s="9">
        <v>1</v>
      </c>
      <c r="O426" s="9">
        <v>1</v>
      </c>
      <c r="P426" s="9">
        <v>1</v>
      </c>
      <c r="Q426" s="9">
        <v>1</v>
      </c>
      <c r="R426" s="9">
        <v>0</v>
      </c>
      <c r="S426" s="9">
        <v>1</v>
      </c>
      <c r="T426" s="9">
        <v>1</v>
      </c>
      <c r="U426" s="9">
        <v>1</v>
      </c>
      <c r="V426" s="9">
        <v>1</v>
      </c>
      <c r="W426" s="9">
        <v>0</v>
      </c>
      <c r="X426" s="1">
        <f t="shared" si="3"/>
        <v>11</v>
      </c>
    </row>
    <row r="427" spans="2:24" ht="13.2" x14ac:dyDescent="0.25">
      <c r="B427" s="109"/>
      <c r="C427" s="9">
        <v>2021</v>
      </c>
      <c r="D427" s="9">
        <v>1</v>
      </c>
      <c r="E427" s="9">
        <v>0</v>
      </c>
      <c r="F427" s="9">
        <v>0</v>
      </c>
      <c r="G427" s="9">
        <v>1</v>
      </c>
      <c r="H427" s="9">
        <v>1</v>
      </c>
      <c r="I427" s="9">
        <v>0</v>
      </c>
      <c r="J427" s="9">
        <v>1</v>
      </c>
      <c r="K427" s="9">
        <v>0</v>
      </c>
      <c r="L427" s="9">
        <v>1</v>
      </c>
      <c r="M427" s="9">
        <v>1</v>
      </c>
      <c r="N427" s="9">
        <v>0</v>
      </c>
      <c r="O427" s="9">
        <v>1</v>
      </c>
      <c r="P427" s="9">
        <v>0</v>
      </c>
      <c r="Q427" s="9">
        <v>1</v>
      </c>
      <c r="R427" s="9">
        <v>1</v>
      </c>
      <c r="S427" s="9">
        <v>0</v>
      </c>
      <c r="T427" s="9">
        <v>0</v>
      </c>
      <c r="U427" s="9">
        <v>0</v>
      </c>
      <c r="V427" s="9">
        <v>0</v>
      </c>
      <c r="W427" s="9">
        <v>0</v>
      </c>
      <c r="X427" s="1">
        <f t="shared" si="3"/>
        <v>9</v>
      </c>
    </row>
    <row r="428" spans="2:24" ht="13.2" x14ac:dyDescent="0.25">
      <c r="B428" s="113"/>
      <c r="C428" s="9">
        <v>2022</v>
      </c>
      <c r="D428" s="9">
        <v>1</v>
      </c>
      <c r="E428" s="9">
        <v>0</v>
      </c>
      <c r="F428" s="9">
        <v>0</v>
      </c>
      <c r="G428" s="9">
        <v>1</v>
      </c>
      <c r="H428" s="9">
        <v>1</v>
      </c>
      <c r="I428" s="9">
        <v>1</v>
      </c>
      <c r="J428" s="9">
        <v>1</v>
      </c>
      <c r="K428" s="9">
        <v>0</v>
      </c>
      <c r="L428" s="9">
        <v>0</v>
      </c>
      <c r="M428" s="9">
        <v>0</v>
      </c>
      <c r="N428" s="9">
        <v>1</v>
      </c>
      <c r="O428" s="9">
        <v>1</v>
      </c>
      <c r="P428" s="9">
        <v>1</v>
      </c>
      <c r="Q428" s="9">
        <v>0</v>
      </c>
      <c r="R428" s="9">
        <v>1</v>
      </c>
      <c r="S428" s="9">
        <v>0</v>
      </c>
      <c r="T428" s="9">
        <v>1</v>
      </c>
      <c r="U428" s="9">
        <v>0</v>
      </c>
      <c r="V428" s="9">
        <v>1</v>
      </c>
      <c r="W428" s="9">
        <v>1</v>
      </c>
      <c r="X428" s="1">
        <f t="shared" si="3"/>
        <v>12</v>
      </c>
    </row>
    <row r="429" spans="2:24" ht="13.2" x14ac:dyDescent="0.25">
      <c r="B429" s="2"/>
      <c r="C429" s="2"/>
      <c r="D429" s="2"/>
      <c r="E429" s="2"/>
      <c r="F429" s="2"/>
      <c r="G429" s="2"/>
      <c r="H429" s="2"/>
      <c r="I429" s="2"/>
      <c r="J429" s="2"/>
      <c r="K429" s="2"/>
      <c r="L429" s="2"/>
    </row>
    <row r="430" spans="2:24" ht="13.2" x14ac:dyDescent="0.25">
      <c r="B430" s="2"/>
      <c r="C430" s="2"/>
      <c r="D430" s="2"/>
      <c r="E430" s="2"/>
      <c r="F430" s="2"/>
      <c r="G430" s="2"/>
      <c r="H430" s="2"/>
      <c r="I430" s="2"/>
      <c r="J430" s="2"/>
      <c r="K430" s="2"/>
      <c r="L430" s="2"/>
    </row>
    <row r="431" spans="2:24" ht="13.2" x14ac:dyDescent="0.25">
      <c r="B431" s="2"/>
      <c r="C431" s="2"/>
      <c r="D431" s="2"/>
      <c r="E431" s="2"/>
      <c r="F431" s="2"/>
      <c r="G431" s="2"/>
      <c r="H431" s="2"/>
      <c r="I431" s="2"/>
      <c r="J431" s="2"/>
      <c r="K431" s="2"/>
      <c r="L431" s="2"/>
    </row>
    <row r="432" spans="2:24" ht="15.6" x14ac:dyDescent="0.25">
      <c r="B432" s="111" t="s">
        <v>6</v>
      </c>
      <c r="C432" s="107"/>
      <c r="D432" s="105" t="s">
        <v>187</v>
      </c>
      <c r="E432" s="106"/>
      <c r="F432" s="106"/>
      <c r="G432" s="106"/>
      <c r="H432" s="106"/>
      <c r="I432" s="106"/>
      <c r="J432" s="106"/>
      <c r="K432" s="106"/>
      <c r="L432" s="106"/>
      <c r="M432" s="106"/>
      <c r="N432" s="106"/>
      <c r="O432" s="106"/>
      <c r="P432" s="106"/>
      <c r="Q432" s="106"/>
      <c r="R432" s="106"/>
      <c r="S432" s="106"/>
      <c r="T432" s="106"/>
      <c r="U432" s="106"/>
      <c r="V432" s="106"/>
      <c r="W432" s="107"/>
    </row>
    <row r="433" spans="2:24" ht="13.8" x14ac:dyDescent="0.25">
      <c r="B433" s="5" t="s">
        <v>6</v>
      </c>
      <c r="C433" s="5" t="s">
        <v>7</v>
      </c>
      <c r="D433" s="15" t="s">
        <v>149</v>
      </c>
      <c r="E433" s="15" t="s">
        <v>151</v>
      </c>
      <c r="F433" s="15" t="s">
        <v>152</v>
      </c>
      <c r="G433" s="15" t="s">
        <v>153</v>
      </c>
      <c r="H433" s="15" t="s">
        <v>154</v>
      </c>
      <c r="I433" s="15" t="s">
        <v>155</v>
      </c>
      <c r="J433" s="15" t="s">
        <v>157</v>
      </c>
      <c r="K433" s="15" t="s">
        <v>158</v>
      </c>
      <c r="L433" s="15" t="s">
        <v>159</v>
      </c>
      <c r="M433" s="15" t="s">
        <v>160</v>
      </c>
      <c r="N433" s="15" t="s">
        <v>161</v>
      </c>
      <c r="O433" s="15" t="s">
        <v>163</v>
      </c>
      <c r="P433" s="15" t="s">
        <v>164</v>
      </c>
      <c r="Q433" s="15" t="s">
        <v>165</v>
      </c>
      <c r="R433" s="15" t="s">
        <v>166</v>
      </c>
      <c r="S433" s="15" t="s">
        <v>167</v>
      </c>
      <c r="T433" s="15" t="s">
        <v>169</v>
      </c>
      <c r="U433" s="15" t="s">
        <v>170</v>
      </c>
      <c r="V433" s="15" t="s">
        <v>171</v>
      </c>
      <c r="W433" s="15" t="s">
        <v>172</v>
      </c>
    </row>
    <row r="434" spans="2:24" ht="13.2" x14ac:dyDescent="0.25">
      <c r="B434" s="112" t="s">
        <v>18</v>
      </c>
      <c r="C434" s="9">
        <v>2018</v>
      </c>
      <c r="D434" s="9">
        <v>1</v>
      </c>
      <c r="E434" s="9">
        <v>1</v>
      </c>
      <c r="F434" s="9">
        <v>1</v>
      </c>
      <c r="G434" s="9">
        <v>0</v>
      </c>
      <c r="H434" s="9">
        <v>1</v>
      </c>
      <c r="I434" s="9">
        <v>1</v>
      </c>
      <c r="J434" s="9">
        <v>0</v>
      </c>
      <c r="K434" s="9">
        <v>0</v>
      </c>
      <c r="L434" s="9">
        <v>0</v>
      </c>
      <c r="M434" s="9">
        <v>1</v>
      </c>
      <c r="N434" s="9">
        <v>0</v>
      </c>
      <c r="O434" s="9">
        <v>0</v>
      </c>
      <c r="P434" s="9">
        <v>1</v>
      </c>
      <c r="Q434" s="9">
        <v>0</v>
      </c>
      <c r="R434" s="9">
        <v>0</v>
      </c>
      <c r="S434" s="9">
        <v>0</v>
      </c>
      <c r="T434" s="9">
        <v>1</v>
      </c>
      <c r="U434" s="9">
        <v>1</v>
      </c>
      <c r="V434" s="9">
        <v>0</v>
      </c>
      <c r="W434" s="9">
        <v>1</v>
      </c>
      <c r="X434" s="1">
        <f t="shared" ref="X434:X563" si="4">SUM(D434:W434)</f>
        <v>10</v>
      </c>
    </row>
    <row r="435" spans="2:24" ht="13.2" x14ac:dyDescent="0.25">
      <c r="B435" s="109"/>
      <c r="C435" s="9">
        <v>2019</v>
      </c>
      <c r="D435" s="9">
        <v>1</v>
      </c>
      <c r="E435" s="9">
        <v>1</v>
      </c>
      <c r="F435" s="9">
        <v>0</v>
      </c>
      <c r="G435" s="9">
        <v>1</v>
      </c>
      <c r="H435" s="9">
        <v>1</v>
      </c>
      <c r="I435" s="9">
        <v>0</v>
      </c>
      <c r="J435" s="9">
        <v>0</v>
      </c>
      <c r="K435" s="9">
        <v>1</v>
      </c>
      <c r="L435" s="9">
        <v>1</v>
      </c>
      <c r="M435" s="9">
        <v>1</v>
      </c>
      <c r="N435" s="9">
        <v>0</v>
      </c>
      <c r="O435" s="9">
        <v>1</v>
      </c>
      <c r="P435" s="9">
        <v>1</v>
      </c>
      <c r="Q435" s="9">
        <v>0</v>
      </c>
      <c r="R435" s="9">
        <v>1</v>
      </c>
      <c r="S435" s="9">
        <v>0</v>
      </c>
      <c r="T435" s="9">
        <v>0</v>
      </c>
      <c r="U435" s="9">
        <v>0</v>
      </c>
      <c r="V435" s="9">
        <v>0</v>
      </c>
      <c r="W435" s="9">
        <v>1</v>
      </c>
      <c r="X435" s="1">
        <f t="shared" si="4"/>
        <v>11</v>
      </c>
    </row>
    <row r="436" spans="2:24" ht="13.2" x14ac:dyDescent="0.25">
      <c r="B436" s="109"/>
      <c r="C436" s="9">
        <v>2020</v>
      </c>
      <c r="D436" s="9">
        <v>0</v>
      </c>
      <c r="E436" s="9">
        <v>0</v>
      </c>
      <c r="F436" s="9">
        <v>1</v>
      </c>
      <c r="G436" s="9">
        <v>1</v>
      </c>
      <c r="H436" s="9">
        <v>0</v>
      </c>
      <c r="I436" s="9">
        <v>0</v>
      </c>
      <c r="J436" s="9">
        <v>1</v>
      </c>
      <c r="K436" s="9">
        <v>1</v>
      </c>
      <c r="L436" s="9">
        <v>1</v>
      </c>
      <c r="M436" s="9">
        <v>0</v>
      </c>
      <c r="N436" s="9">
        <v>1</v>
      </c>
      <c r="O436" s="9">
        <v>0</v>
      </c>
      <c r="P436" s="9">
        <v>1</v>
      </c>
      <c r="Q436" s="9">
        <v>0</v>
      </c>
      <c r="R436" s="9">
        <v>1</v>
      </c>
      <c r="S436" s="9">
        <v>1</v>
      </c>
      <c r="T436" s="9">
        <v>0</v>
      </c>
      <c r="U436" s="9">
        <v>1</v>
      </c>
      <c r="V436" s="9">
        <v>1</v>
      </c>
      <c r="W436" s="9">
        <v>0</v>
      </c>
      <c r="X436" s="1">
        <f t="shared" si="4"/>
        <v>11</v>
      </c>
    </row>
    <row r="437" spans="2:24" ht="13.2" x14ac:dyDescent="0.25">
      <c r="B437" s="109"/>
      <c r="C437" s="9">
        <v>2021</v>
      </c>
      <c r="D437" s="9">
        <v>0</v>
      </c>
      <c r="E437" s="9">
        <v>0</v>
      </c>
      <c r="F437" s="9">
        <v>1</v>
      </c>
      <c r="G437" s="9">
        <v>1</v>
      </c>
      <c r="H437" s="9">
        <v>1</v>
      </c>
      <c r="I437" s="9">
        <v>0</v>
      </c>
      <c r="J437" s="9">
        <v>0</v>
      </c>
      <c r="K437" s="9">
        <v>1</v>
      </c>
      <c r="L437" s="9">
        <v>0</v>
      </c>
      <c r="M437" s="9">
        <v>0</v>
      </c>
      <c r="N437" s="9">
        <v>0</v>
      </c>
      <c r="O437" s="9">
        <v>0</v>
      </c>
      <c r="P437" s="9">
        <v>1</v>
      </c>
      <c r="Q437" s="9">
        <v>1</v>
      </c>
      <c r="R437" s="9">
        <v>1</v>
      </c>
      <c r="S437" s="9">
        <v>0</v>
      </c>
      <c r="T437" s="9">
        <v>1</v>
      </c>
      <c r="U437" s="9">
        <v>1</v>
      </c>
      <c r="V437" s="9">
        <v>1</v>
      </c>
      <c r="W437" s="9">
        <v>0</v>
      </c>
      <c r="X437" s="1">
        <f t="shared" si="4"/>
        <v>10</v>
      </c>
    </row>
    <row r="438" spans="2:24" ht="13.2" x14ac:dyDescent="0.25">
      <c r="B438" s="113"/>
      <c r="C438" s="9">
        <v>2022</v>
      </c>
      <c r="D438" s="9">
        <v>1</v>
      </c>
      <c r="E438" s="9">
        <v>1</v>
      </c>
      <c r="F438" s="9">
        <v>1</v>
      </c>
      <c r="G438" s="9">
        <v>0</v>
      </c>
      <c r="H438" s="9">
        <v>1</v>
      </c>
      <c r="I438" s="9">
        <v>1</v>
      </c>
      <c r="J438" s="9">
        <v>0</v>
      </c>
      <c r="K438" s="9">
        <v>0</v>
      </c>
      <c r="L438" s="9">
        <v>1</v>
      </c>
      <c r="M438" s="9">
        <v>0</v>
      </c>
      <c r="N438" s="9">
        <v>1</v>
      </c>
      <c r="O438" s="9">
        <v>0</v>
      </c>
      <c r="P438" s="9">
        <v>1</v>
      </c>
      <c r="Q438" s="9">
        <v>1</v>
      </c>
      <c r="R438" s="9">
        <v>1</v>
      </c>
      <c r="S438" s="9">
        <v>1</v>
      </c>
      <c r="T438" s="9">
        <v>0</v>
      </c>
      <c r="U438" s="9">
        <v>1</v>
      </c>
      <c r="V438" s="9">
        <v>1</v>
      </c>
      <c r="W438" s="9">
        <v>1</v>
      </c>
      <c r="X438" s="1">
        <f t="shared" si="4"/>
        <v>14</v>
      </c>
    </row>
    <row r="439" spans="2:24" ht="13.2" x14ac:dyDescent="0.25">
      <c r="B439" s="112" t="s">
        <v>39</v>
      </c>
      <c r="C439" s="9">
        <v>2018</v>
      </c>
      <c r="D439" s="9">
        <v>1</v>
      </c>
      <c r="E439" s="9">
        <v>0</v>
      </c>
      <c r="F439" s="9">
        <v>0</v>
      </c>
      <c r="G439" s="9">
        <v>0</v>
      </c>
      <c r="H439" s="9">
        <v>0</v>
      </c>
      <c r="I439" s="9">
        <v>0</v>
      </c>
      <c r="J439" s="9">
        <v>1</v>
      </c>
      <c r="K439" s="9">
        <v>1</v>
      </c>
      <c r="L439" s="9">
        <v>1</v>
      </c>
      <c r="M439" s="9">
        <v>0</v>
      </c>
      <c r="N439" s="9">
        <v>1</v>
      </c>
      <c r="O439" s="9">
        <v>0</v>
      </c>
      <c r="P439" s="9">
        <v>0</v>
      </c>
      <c r="Q439" s="9">
        <v>1</v>
      </c>
      <c r="R439" s="9">
        <v>0</v>
      </c>
      <c r="S439" s="9">
        <v>1</v>
      </c>
      <c r="T439" s="9">
        <v>1</v>
      </c>
      <c r="U439" s="9">
        <v>0</v>
      </c>
      <c r="V439" s="9">
        <v>0</v>
      </c>
      <c r="W439" s="9">
        <v>0</v>
      </c>
      <c r="X439" s="1">
        <f t="shared" si="4"/>
        <v>8</v>
      </c>
    </row>
    <row r="440" spans="2:24" ht="13.2" x14ac:dyDescent="0.25">
      <c r="B440" s="109"/>
      <c r="C440" s="9">
        <v>2019</v>
      </c>
      <c r="D440" s="9">
        <v>0</v>
      </c>
      <c r="E440" s="9">
        <v>1</v>
      </c>
      <c r="F440" s="9">
        <v>1</v>
      </c>
      <c r="G440" s="9">
        <v>0</v>
      </c>
      <c r="H440" s="9">
        <v>1</v>
      </c>
      <c r="I440" s="9">
        <v>1</v>
      </c>
      <c r="J440" s="9">
        <v>1</v>
      </c>
      <c r="K440" s="9">
        <v>0</v>
      </c>
      <c r="L440" s="9">
        <v>0</v>
      </c>
      <c r="M440" s="9">
        <v>0</v>
      </c>
      <c r="N440" s="9">
        <v>1</v>
      </c>
      <c r="O440" s="9">
        <v>0</v>
      </c>
      <c r="P440" s="9">
        <v>1</v>
      </c>
      <c r="Q440" s="9">
        <v>1</v>
      </c>
      <c r="R440" s="9">
        <v>0</v>
      </c>
      <c r="S440" s="9">
        <v>1</v>
      </c>
      <c r="T440" s="9">
        <v>0</v>
      </c>
      <c r="U440" s="9">
        <v>1</v>
      </c>
      <c r="V440" s="9">
        <v>1</v>
      </c>
      <c r="W440" s="9">
        <v>0</v>
      </c>
      <c r="X440" s="1">
        <f t="shared" si="4"/>
        <v>11</v>
      </c>
    </row>
    <row r="441" spans="2:24" ht="13.2" x14ac:dyDescent="0.25">
      <c r="B441" s="109"/>
      <c r="C441" s="9">
        <v>2020</v>
      </c>
      <c r="D441" s="9">
        <v>1</v>
      </c>
      <c r="E441" s="9">
        <v>1</v>
      </c>
      <c r="F441" s="9">
        <v>1</v>
      </c>
      <c r="G441" s="9">
        <v>0</v>
      </c>
      <c r="H441" s="9">
        <v>1</v>
      </c>
      <c r="I441" s="9">
        <v>1</v>
      </c>
      <c r="J441" s="9">
        <v>1</v>
      </c>
      <c r="K441" s="9">
        <v>1</v>
      </c>
      <c r="L441" s="9">
        <v>0</v>
      </c>
      <c r="M441" s="9">
        <v>0</v>
      </c>
      <c r="N441" s="9">
        <v>0</v>
      </c>
      <c r="O441" s="9">
        <v>0</v>
      </c>
      <c r="P441" s="9">
        <v>0</v>
      </c>
      <c r="Q441" s="9">
        <v>0</v>
      </c>
      <c r="R441" s="9">
        <v>1</v>
      </c>
      <c r="S441" s="9">
        <v>1</v>
      </c>
      <c r="T441" s="9">
        <v>0</v>
      </c>
      <c r="U441" s="9">
        <v>1</v>
      </c>
      <c r="V441" s="9">
        <v>1</v>
      </c>
      <c r="W441" s="9">
        <v>0</v>
      </c>
      <c r="X441" s="1">
        <f t="shared" si="4"/>
        <v>11</v>
      </c>
    </row>
    <row r="442" spans="2:24" ht="13.2" x14ac:dyDescent="0.25">
      <c r="B442" s="109"/>
      <c r="C442" s="9">
        <v>2021</v>
      </c>
      <c r="D442" s="9">
        <v>0</v>
      </c>
      <c r="E442" s="9">
        <v>0</v>
      </c>
      <c r="F442" s="9">
        <v>0</v>
      </c>
      <c r="G442" s="9">
        <v>1</v>
      </c>
      <c r="H442" s="9">
        <v>1</v>
      </c>
      <c r="I442" s="9">
        <v>1</v>
      </c>
      <c r="J442" s="9">
        <v>0</v>
      </c>
      <c r="K442" s="9">
        <v>1</v>
      </c>
      <c r="L442" s="9">
        <v>0</v>
      </c>
      <c r="M442" s="9">
        <v>0</v>
      </c>
      <c r="N442" s="9">
        <v>1</v>
      </c>
      <c r="O442" s="9">
        <v>0</v>
      </c>
      <c r="P442" s="9">
        <v>0</v>
      </c>
      <c r="Q442" s="9">
        <v>0</v>
      </c>
      <c r="R442" s="9">
        <v>1</v>
      </c>
      <c r="S442" s="9">
        <v>1</v>
      </c>
      <c r="T442" s="9">
        <v>0</v>
      </c>
      <c r="U442" s="9">
        <v>0</v>
      </c>
      <c r="V442" s="9">
        <v>0</v>
      </c>
      <c r="W442" s="9">
        <v>0</v>
      </c>
      <c r="X442" s="1">
        <f t="shared" si="4"/>
        <v>7</v>
      </c>
    </row>
    <row r="443" spans="2:24" ht="13.2" x14ac:dyDescent="0.25">
      <c r="B443" s="113"/>
      <c r="C443" s="9">
        <v>2022</v>
      </c>
      <c r="D443" s="9">
        <v>0</v>
      </c>
      <c r="E443" s="9">
        <v>0</v>
      </c>
      <c r="F443" s="9">
        <v>0</v>
      </c>
      <c r="G443" s="9">
        <v>0</v>
      </c>
      <c r="H443" s="9">
        <v>0</v>
      </c>
      <c r="I443" s="9">
        <v>1</v>
      </c>
      <c r="J443" s="9">
        <v>0</v>
      </c>
      <c r="K443" s="9">
        <v>0</v>
      </c>
      <c r="L443" s="9">
        <v>1</v>
      </c>
      <c r="M443" s="9">
        <v>0</v>
      </c>
      <c r="N443" s="9">
        <v>1</v>
      </c>
      <c r="O443" s="9">
        <v>1</v>
      </c>
      <c r="P443" s="9">
        <v>0</v>
      </c>
      <c r="Q443" s="9">
        <v>1</v>
      </c>
      <c r="R443" s="9">
        <v>0</v>
      </c>
      <c r="S443" s="9">
        <v>1</v>
      </c>
      <c r="T443" s="9">
        <v>0</v>
      </c>
      <c r="U443" s="9">
        <v>1</v>
      </c>
      <c r="V443" s="9">
        <v>0</v>
      </c>
      <c r="W443" s="9">
        <v>0</v>
      </c>
      <c r="X443" s="1">
        <f t="shared" si="4"/>
        <v>7</v>
      </c>
    </row>
    <row r="444" spans="2:24" ht="13.2" x14ac:dyDescent="0.25">
      <c r="B444" s="112" t="s">
        <v>60</v>
      </c>
      <c r="C444" s="9">
        <v>2018</v>
      </c>
      <c r="D444" s="9">
        <v>1</v>
      </c>
      <c r="E444" s="9">
        <v>1</v>
      </c>
      <c r="F444" s="9">
        <v>1</v>
      </c>
      <c r="G444" s="9">
        <v>0</v>
      </c>
      <c r="H444" s="9">
        <v>1</v>
      </c>
      <c r="I444" s="9">
        <v>0</v>
      </c>
      <c r="J444" s="9">
        <v>1</v>
      </c>
      <c r="K444" s="9">
        <v>0</v>
      </c>
      <c r="L444" s="9">
        <v>1</v>
      </c>
      <c r="M444" s="9">
        <v>0</v>
      </c>
      <c r="N444" s="9">
        <v>0</v>
      </c>
      <c r="O444" s="9">
        <v>1</v>
      </c>
      <c r="P444" s="9">
        <v>1</v>
      </c>
      <c r="Q444" s="9">
        <v>0</v>
      </c>
      <c r="R444" s="9">
        <v>1</v>
      </c>
      <c r="S444" s="9">
        <v>1</v>
      </c>
      <c r="T444" s="9">
        <v>0</v>
      </c>
      <c r="U444" s="9">
        <v>1</v>
      </c>
      <c r="V444" s="9">
        <v>1</v>
      </c>
      <c r="W444" s="9">
        <v>1</v>
      </c>
      <c r="X444" s="1">
        <f t="shared" si="4"/>
        <v>13</v>
      </c>
    </row>
    <row r="445" spans="2:24" ht="13.2" x14ac:dyDescent="0.25">
      <c r="B445" s="109"/>
      <c r="C445" s="9">
        <v>2019</v>
      </c>
      <c r="D445" s="9">
        <v>1</v>
      </c>
      <c r="E445" s="9">
        <v>0</v>
      </c>
      <c r="F445" s="9">
        <v>1</v>
      </c>
      <c r="G445" s="9">
        <v>1</v>
      </c>
      <c r="H445" s="9">
        <v>0</v>
      </c>
      <c r="I445" s="9">
        <v>1</v>
      </c>
      <c r="J445" s="9">
        <v>1</v>
      </c>
      <c r="K445" s="9">
        <v>0</v>
      </c>
      <c r="L445" s="9">
        <v>1</v>
      </c>
      <c r="M445" s="9">
        <v>0</v>
      </c>
      <c r="N445" s="9">
        <v>1</v>
      </c>
      <c r="O445" s="9">
        <v>0</v>
      </c>
      <c r="P445" s="9">
        <v>0</v>
      </c>
      <c r="Q445" s="9">
        <v>1</v>
      </c>
      <c r="R445" s="9">
        <v>0</v>
      </c>
      <c r="S445" s="9">
        <v>0</v>
      </c>
      <c r="T445" s="9">
        <v>1</v>
      </c>
      <c r="U445" s="9">
        <v>0</v>
      </c>
      <c r="V445" s="9">
        <v>1</v>
      </c>
      <c r="W445" s="9">
        <v>1</v>
      </c>
      <c r="X445" s="1">
        <f t="shared" si="4"/>
        <v>11</v>
      </c>
    </row>
    <row r="446" spans="2:24" ht="13.2" x14ac:dyDescent="0.25">
      <c r="B446" s="109"/>
      <c r="C446" s="9">
        <v>2020</v>
      </c>
      <c r="D446" s="9">
        <v>1</v>
      </c>
      <c r="E446" s="9">
        <v>1</v>
      </c>
      <c r="F446" s="9">
        <v>1</v>
      </c>
      <c r="G446" s="9">
        <v>1</v>
      </c>
      <c r="H446" s="9">
        <v>1</v>
      </c>
      <c r="I446" s="9">
        <v>1</v>
      </c>
      <c r="J446" s="9">
        <v>0</v>
      </c>
      <c r="K446" s="9">
        <v>1</v>
      </c>
      <c r="L446" s="9">
        <v>0</v>
      </c>
      <c r="M446" s="9">
        <v>1</v>
      </c>
      <c r="N446" s="9">
        <v>1</v>
      </c>
      <c r="O446" s="9">
        <v>1</v>
      </c>
      <c r="P446" s="9">
        <v>1</v>
      </c>
      <c r="Q446" s="9">
        <v>0</v>
      </c>
      <c r="R446" s="9">
        <v>1</v>
      </c>
      <c r="S446" s="9">
        <v>0</v>
      </c>
      <c r="T446" s="9">
        <v>1</v>
      </c>
      <c r="U446" s="9">
        <v>0</v>
      </c>
      <c r="V446" s="9">
        <v>0</v>
      </c>
      <c r="W446" s="9">
        <v>0</v>
      </c>
      <c r="X446" s="1">
        <f t="shared" si="4"/>
        <v>13</v>
      </c>
    </row>
    <row r="447" spans="2:24" ht="13.2" x14ac:dyDescent="0.25">
      <c r="B447" s="109"/>
      <c r="C447" s="9">
        <v>2021</v>
      </c>
      <c r="D447" s="9">
        <v>1</v>
      </c>
      <c r="E447" s="9">
        <v>1</v>
      </c>
      <c r="F447" s="9">
        <v>0</v>
      </c>
      <c r="G447" s="9">
        <v>0</v>
      </c>
      <c r="H447" s="9">
        <v>1</v>
      </c>
      <c r="I447" s="9">
        <v>0</v>
      </c>
      <c r="J447" s="9">
        <v>1</v>
      </c>
      <c r="K447" s="9">
        <v>0</v>
      </c>
      <c r="L447" s="9">
        <v>1</v>
      </c>
      <c r="M447" s="9">
        <v>0</v>
      </c>
      <c r="N447" s="9">
        <v>0</v>
      </c>
      <c r="O447" s="9">
        <v>0</v>
      </c>
      <c r="P447" s="9">
        <v>1</v>
      </c>
      <c r="Q447" s="9">
        <v>0</v>
      </c>
      <c r="R447" s="9">
        <v>0</v>
      </c>
      <c r="S447" s="9">
        <v>0</v>
      </c>
      <c r="T447" s="9">
        <v>0</v>
      </c>
      <c r="U447" s="9">
        <v>1</v>
      </c>
      <c r="V447" s="9">
        <v>0</v>
      </c>
      <c r="W447" s="9">
        <v>0</v>
      </c>
      <c r="X447" s="1">
        <f t="shared" si="4"/>
        <v>7</v>
      </c>
    </row>
    <row r="448" spans="2:24" ht="13.2" x14ac:dyDescent="0.25">
      <c r="B448" s="113"/>
      <c r="C448" s="9">
        <v>2022</v>
      </c>
      <c r="D448" s="9">
        <v>1</v>
      </c>
      <c r="E448" s="9">
        <v>1</v>
      </c>
      <c r="F448" s="9">
        <v>1</v>
      </c>
      <c r="G448" s="9">
        <v>0</v>
      </c>
      <c r="H448" s="9">
        <v>1</v>
      </c>
      <c r="I448" s="9">
        <v>1</v>
      </c>
      <c r="J448" s="9">
        <v>1</v>
      </c>
      <c r="K448" s="9">
        <v>0</v>
      </c>
      <c r="L448" s="9">
        <v>0</v>
      </c>
      <c r="M448" s="9">
        <v>0</v>
      </c>
      <c r="N448" s="9">
        <v>0</v>
      </c>
      <c r="O448" s="9">
        <v>0</v>
      </c>
      <c r="P448" s="9">
        <v>1</v>
      </c>
      <c r="Q448" s="9">
        <v>0</v>
      </c>
      <c r="R448" s="9">
        <v>0</v>
      </c>
      <c r="S448" s="9">
        <v>0</v>
      </c>
      <c r="T448" s="9">
        <v>0</v>
      </c>
      <c r="U448" s="9">
        <v>1</v>
      </c>
      <c r="V448" s="9">
        <v>0</v>
      </c>
      <c r="W448" s="9">
        <v>1</v>
      </c>
      <c r="X448" s="1">
        <f t="shared" si="4"/>
        <v>9</v>
      </c>
    </row>
    <row r="449" spans="2:24" ht="13.2" x14ac:dyDescent="0.25">
      <c r="B449" s="112" t="s">
        <v>81</v>
      </c>
      <c r="C449" s="9">
        <v>2018</v>
      </c>
      <c r="D449" s="9">
        <v>1</v>
      </c>
      <c r="E449" s="9">
        <v>0</v>
      </c>
      <c r="F449" s="9">
        <v>0</v>
      </c>
      <c r="G449" s="9">
        <v>1</v>
      </c>
      <c r="H449" s="9">
        <v>1</v>
      </c>
      <c r="I449" s="9">
        <v>1</v>
      </c>
      <c r="J449" s="9">
        <v>1</v>
      </c>
      <c r="K449" s="9">
        <v>0</v>
      </c>
      <c r="L449" s="9">
        <v>0</v>
      </c>
      <c r="M449" s="9">
        <v>1</v>
      </c>
      <c r="N449" s="9">
        <v>1</v>
      </c>
      <c r="O449" s="9">
        <v>1</v>
      </c>
      <c r="P449" s="9">
        <v>0</v>
      </c>
      <c r="Q449" s="9">
        <v>1</v>
      </c>
      <c r="R449" s="9">
        <v>1</v>
      </c>
      <c r="S449" s="9">
        <v>1</v>
      </c>
      <c r="T449" s="9">
        <v>0</v>
      </c>
      <c r="U449" s="9">
        <v>0</v>
      </c>
      <c r="V449" s="9">
        <v>0</v>
      </c>
      <c r="W449" s="9">
        <v>1</v>
      </c>
      <c r="X449" s="1">
        <f t="shared" si="4"/>
        <v>12</v>
      </c>
    </row>
    <row r="450" spans="2:24" ht="13.2" x14ac:dyDescent="0.25">
      <c r="B450" s="109"/>
      <c r="C450" s="9">
        <v>2019</v>
      </c>
      <c r="D450" s="9">
        <v>1</v>
      </c>
      <c r="E450" s="9">
        <v>1</v>
      </c>
      <c r="F450" s="9">
        <v>1</v>
      </c>
      <c r="G450" s="9">
        <v>0</v>
      </c>
      <c r="H450" s="9">
        <v>0</v>
      </c>
      <c r="I450" s="9">
        <v>0</v>
      </c>
      <c r="J450" s="9">
        <v>1</v>
      </c>
      <c r="K450" s="9">
        <v>1</v>
      </c>
      <c r="L450" s="9">
        <v>0</v>
      </c>
      <c r="M450" s="9">
        <v>1</v>
      </c>
      <c r="N450" s="9">
        <v>1</v>
      </c>
      <c r="O450" s="9">
        <v>0</v>
      </c>
      <c r="P450" s="9">
        <v>1</v>
      </c>
      <c r="Q450" s="9">
        <v>1</v>
      </c>
      <c r="R450" s="9">
        <v>1</v>
      </c>
      <c r="S450" s="9">
        <v>1</v>
      </c>
      <c r="T450" s="9">
        <v>1</v>
      </c>
      <c r="U450" s="9">
        <v>0</v>
      </c>
      <c r="V450" s="9">
        <v>1</v>
      </c>
      <c r="W450" s="9">
        <v>1</v>
      </c>
      <c r="X450" s="1">
        <f t="shared" si="4"/>
        <v>14</v>
      </c>
    </row>
    <row r="451" spans="2:24" ht="13.2" x14ac:dyDescent="0.25">
      <c r="B451" s="109"/>
      <c r="C451" s="9">
        <v>2020</v>
      </c>
      <c r="D451" s="9">
        <v>1</v>
      </c>
      <c r="E451" s="9">
        <v>1</v>
      </c>
      <c r="F451" s="9">
        <v>1</v>
      </c>
      <c r="G451" s="9">
        <v>1</v>
      </c>
      <c r="H451" s="9">
        <v>0</v>
      </c>
      <c r="I451" s="9">
        <v>0</v>
      </c>
      <c r="J451" s="9">
        <v>1</v>
      </c>
      <c r="K451" s="9">
        <v>0</v>
      </c>
      <c r="L451" s="9">
        <v>1</v>
      </c>
      <c r="M451" s="9">
        <v>0</v>
      </c>
      <c r="N451" s="9">
        <v>1</v>
      </c>
      <c r="O451" s="9">
        <v>1</v>
      </c>
      <c r="P451" s="9">
        <v>0</v>
      </c>
      <c r="Q451" s="9">
        <v>1</v>
      </c>
      <c r="R451" s="9">
        <v>0</v>
      </c>
      <c r="S451" s="9">
        <v>0</v>
      </c>
      <c r="T451" s="9">
        <v>0</v>
      </c>
      <c r="U451" s="9">
        <v>1</v>
      </c>
      <c r="V451" s="9">
        <v>0</v>
      </c>
      <c r="W451" s="9">
        <v>1</v>
      </c>
      <c r="X451" s="1">
        <f t="shared" si="4"/>
        <v>11</v>
      </c>
    </row>
    <row r="452" spans="2:24" ht="13.2" x14ac:dyDescent="0.25">
      <c r="B452" s="109"/>
      <c r="C452" s="9">
        <v>2021</v>
      </c>
      <c r="D452" s="9">
        <v>1</v>
      </c>
      <c r="E452" s="9">
        <v>0</v>
      </c>
      <c r="F452" s="9">
        <v>0</v>
      </c>
      <c r="G452" s="9">
        <v>0</v>
      </c>
      <c r="H452" s="9">
        <v>1</v>
      </c>
      <c r="I452" s="9">
        <v>0</v>
      </c>
      <c r="J452" s="9">
        <v>1</v>
      </c>
      <c r="K452" s="9">
        <v>1</v>
      </c>
      <c r="L452" s="9">
        <v>1</v>
      </c>
      <c r="M452" s="9">
        <v>1</v>
      </c>
      <c r="N452" s="9">
        <v>1</v>
      </c>
      <c r="O452" s="9">
        <v>1</v>
      </c>
      <c r="P452" s="9">
        <v>1</v>
      </c>
      <c r="Q452" s="9">
        <v>1</v>
      </c>
      <c r="R452" s="9">
        <v>0</v>
      </c>
      <c r="S452" s="9">
        <v>1</v>
      </c>
      <c r="T452" s="9">
        <v>1</v>
      </c>
      <c r="U452" s="9">
        <v>0</v>
      </c>
      <c r="V452" s="9">
        <v>0</v>
      </c>
      <c r="W452" s="9">
        <v>0</v>
      </c>
      <c r="X452" s="1">
        <f t="shared" si="4"/>
        <v>12</v>
      </c>
    </row>
    <row r="453" spans="2:24" ht="13.2" x14ac:dyDescent="0.25">
      <c r="B453" s="113"/>
      <c r="C453" s="9">
        <v>2022</v>
      </c>
      <c r="D453" s="9">
        <v>1</v>
      </c>
      <c r="E453" s="9">
        <v>1</v>
      </c>
      <c r="F453" s="9">
        <v>0</v>
      </c>
      <c r="G453" s="9">
        <v>0</v>
      </c>
      <c r="H453" s="9">
        <v>1</v>
      </c>
      <c r="I453" s="9">
        <v>0</v>
      </c>
      <c r="J453" s="9">
        <v>1</v>
      </c>
      <c r="K453" s="9">
        <v>1</v>
      </c>
      <c r="L453" s="9">
        <v>1</v>
      </c>
      <c r="M453" s="9">
        <v>0</v>
      </c>
      <c r="N453" s="9">
        <v>1</v>
      </c>
      <c r="O453" s="9">
        <v>1</v>
      </c>
      <c r="P453" s="9">
        <v>1</v>
      </c>
      <c r="Q453" s="9">
        <v>0</v>
      </c>
      <c r="R453" s="9">
        <v>1</v>
      </c>
      <c r="S453" s="9">
        <v>1</v>
      </c>
      <c r="T453" s="9">
        <v>1</v>
      </c>
      <c r="U453" s="9">
        <v>0</v>
      </c>
      <c r="V453" s="9">
        <v>1</v>
      </c>
      <c r="W453" s="9">
        <v>1</v>
      </c>
      <c r="X453" s="1">
        <f t="shared" si="4"/>
        <v>14</v>
      </c>
    </row>
    <row r="454" spans="2:24" ht="13.2" x14ac:dyDescent="0.25">
      <c r="B454" s="112" t="s">
        <v>98</v>
      </c>
      <c r="C454" s="9">
        <v>2018</v>
      </c>
      <c r="D454" s="9">
        <v>0</v>
      </c>
      <c r="E454" s="9">
        <v>1</v>
      </c>
      <c r="F454" s="9">
        <v>1</v>
      </c>
      <c r="G454" s="9">
        <v>1</v>
      </c>
      <c r="H454" s="9">
        <v>0</v>
      </c>
      <c r="I454" s="9">
        <v>1</v>
      </c>
      <c r="J454" s="9">
        <v>1</v>
      </c>
      <c r="K454" s="9">
        <v>0</v>
      </c>
      <c r="L454" s="9">
        <v>0</v>
      </c>
      <c r="M454" s="9">
        <v>0</v>
      </c>
      <c r="N454" s="9">
        <v>1</v>
      </c>
      <c r="O454" s="9">
        <v>1</v>
      </c>
      <c r="P454" s="9">
        <v>1</v>
      </c>
      <c r="Q454" s="9">
        <v>0</v>
      </c>
      <c r="R454" s="9">
        <v>1</v>
      </c>
      <c r="S454" s="9">
        <v>0</v>
      </c>
      <c r="T454" s="9">
        <v>1</v>
      </c>
      <c r="U454" s="9">
        <v>1</v>
      </c>
      <c r="V454" s="9">
        <v>0</v>
      </c>
      <c r="W454" s="9">
        <v>1</v>
      </c>
      <c r="X454" s="1">
        <f t="shared" si="4"/>
        <v>12</v>
      </c>
    </row>
    <row r="455" spans="2:24" ht="13.2" x14ac:dyDescent="0.25">
      <c r="B455" s="109"/>
      <c r="C455" s="9">
        <v>2019</v>
      </c>
      <c r="D455" s="9">
        <v>0</v>
      </c>
      <c r="E455" s="9">
        <v>0</v>
      </c>
      <c r="F455" s="9">
        <v>1</v>
      </c>
      <c r="G455" s="9">
        <v>1</v>
      </c>
      <c r="H455" s="9">
        <v>0</v>
      </c>
      <c r="I455" s="9">
        <v>0</v>
      </c>
      <c r="J455" s="9">
        <v>0</v>
      </c>
      <c r="K455" s="9">
        <v>0</v>
      </c>
      <c r="L455" s="9">
        <v>0</v>
      </c>
      <c r="M455" s="9">
        <v>0</v>
      </c>
      <c r="N455" s="9">
        <v>0</v>
      </c>
      <c r="O455" s="9">
        <v>0</v>
      </c>
      <c r="P455" s="9">
        <v>1</v>
      </c>
      <c r="Q455" s="9">
        <v>1</v>
      </c>
      <c r="R455" s="9">
        <v>0</v>
      </c>
      <c r="S455" s="9">
        <v>0</v>
      </c>
      <c r="T455" s="9">
        <v>1</v>
      </c>
      <c r="U455" s="9">
        <v>1</v>
      </c>
      <c r="V455" s="9">
        <v>0</v>
      </c>
      <c r="W455" s="9">
        <v>0</v>
      </c>
      <c r="X455" s="1">
        <f t="shared" si="4"/>
        <v>6</v>
      </c>
    </row>
    <row r="456" spans="2:24" ht="13.2" x14ac:dyDescent="0.25">
      <c r="B456" s="109"/>
      <c r="C456" s="9">
        <v>2020</v>
      </c>
      <c r="D456" s="9">
        <v>1</v>
      </c>
      <c r="E456" s="9">
        <v>1</v>
      </c>
      <c r="F456" s="9">
        <v>1</v>
      </c>
      <c r="G456" s="9">
        <v>0</v>
      </c>
      <c r="H456" s="9">
        <v>0</v>
      </c>
      <c r="I456" s="9">
        <v>0</v>
      </c>
      <c r="J456" s="9">
        <v>1</v>
      </c>
      <c r="K456" s="9">
        <v>0</v>
      </c>
      <c r="L456" s="9">
        <v>0</v>
      </c>
      <c r="M456" s="9">
        <v>1</v>
      </c>
      <c r="N456" s="9">
        <v>0</v>
      </c>
      <c r="O456" s="9">
        <v>1</v>
      </c>
      <c r="P456" s="9">
        <v>1</v>
      </c>
      <c r="Q456" s="9">
        <v>1</v>
      </c>
      <c r="R456" s="9">
        <v>0</v>
      </c>
      <c r="S456" s="9">
        <v>0</v>
      </c>
      <c r="T456" s="9">
        <v>0</v>
      </c>
      <c r="U456" s="9">
        <v>0</v>
      </c>
      <c r="V456" s="9">
        <v>0</v>
      </c>
      <c r="W456" s="9">
        <v>0</v>
      </c>
      <c r="X456" s="1">
        <f t="shared" si="4"/>
        <v>8</v>
      </c>
    </row>
    <row r="457" spans="2:24" ht="13.2" x14ac:dyDescent="0.25">
      <c r="B457" s="109"/>
      <c r="C457" s="9">
        <v>2021</v>
      </c>
      <c r="D457" s="9">
        <v>0</v>
      </c>
      <c r="E457" s="9">
        <v>0</v>
      </c>
      <c r="F457" s="9">
        <v>1</v>
      </c>
      <c r="G457" s="9">
        <v>0</v>
      </c>
      <c r="H457" s="9">
        <v>0</v>
      </c>
      <c r="I457" s="9">
        <v>1</v>
      </c>
      <c r="J457" s="9">
        <v>1</v>
      </c>
      <c r="K457" s="9">
        <v>1</v>
      </c>
      <c r="L457" s="9">
        <v>0</v>
      </c>
      <c r="M457" s="9">
        <v>1</v>
      </c>
      <c r="N457" s="9">
        <v>0</v>
      </c>
      <c r="O457" s="9">
        <v>0</v>
      </c>
      <c r="P457" s="9">
        <v>0</v>
      </c>
      <c r="Q457" s="9">
        <v>1</v>
      </c>
      <c r="R457" s="9">
        <v>0</v>
      </c>
      <c r="S457" s="9">
        <v>0</v>
      </c>
      <c r="T457" s="9">
        <v>1</v>
      </c>
      <c r="U457" s="9">
        <v>1</v>
      </c>
      <c r="V457" s="9">
        <v>0</v>
      </c>
      <c r="W457" s="9">
        <v>0</v>
      </c>
      <c r="X457" s="1">
        <f t="shared" si="4"/>
        <v>8</v>
      </c>
    </row>
    <row r="458" spans="2:24" ht="13.2" x14ac:dyDescent="0.25">
      <c r="B458" s="113"/>
      <c r="C458" s="9">
        <v>2022</v>
      </c>
      <c r="D458" s="9">
        <v>1</v>
      </c>
      <c r="E458" s="9">
        <v>0</v>
      </c>
      <c r="F458" s="9">
        <v>1</v>
      </c>
      <c r="G458" s="9">
        <v>1</v>
      </c>
      <c r="H458" s="9">
        <v>1</v>
      </c>
      <c r="I458" s="9">
        <v>0</v>
      </c>
      <c r="J458" s="9">
        <v>1</v>
      </c>
      <c r="K458" s="9">
        <v>1</v>
      </c>
      <c r="L458" s="9">
        <v>0</v>
      </c>
      <c r="M458" s="9">
        <v>1</v>
      </c>
      <c r="N458" s="9">
        <v>1</v>
      </c>
      <c r="O458" s="9">
        <v>1</v>
      </c>
      <c r="P458" s="9">
        <v>1</v>
      </c>
      <c r="Q458" s="9">
        <v>0</v>
      </c>
      <c r="R458" s="9">
        <v>0</v>
      </c>
      <c r="S458" s="9">
        <v>0</v>
      </c>
      <c r="T458" s="9">
        <v>1</v>
      </c>
      <c r="U458" s="9">
        <v>1</v>
      </c>
      <c r="V458" s="9">
        <v>1</v>
      </c>
      <c r="W458" s="9">
        <v>0</v>
      </c>
      <c r="X458" s="1">
        <f t="shared" si="4"/>
        <v>13</v>
      </c>
    </row>
    <row r="459" spans="2:24" ht="13.2" x14ac:dyDescent="0.25">
      <c r="B459" s="112" t="s">
        <v>114</v>
      </c>
      <c r="C459" s="9">
        <v>2018</v>
      </c>
      <c r="D459" s="9">
        <v>1</v>
      </c>
      <c r="E459" s="9">
        <v>0</v>
      </c>
      <c r="F459" s="9">
        <v>0</v>
      </c>
      <c r="G459" s="9">
        <v>1</v>
      </c>
      <c r="H459" s="9">
        <v>1</v>
      </c>
      <c r="I459" s="9">
        <v>0</v>
      </c>
      <c r="J459" s="9">
        <v>1</v>
      </c>
      <c r="K459" s="9">
        <v>1</v>
      </c>
      <c r="L459" s="9">
        <v>1</v>
      </c>
      <c r="M459" s="9">
        <v>0</v>
      </c>
      <c r="N459" s="9">
        <v>0</v>
      </c>
      <c r="O459" s="9">
        <v>0</v>
      </c>
      <c r="P459" s="9">
        <v>1</v>
      </c>
      <c r="Q459" s="9">
        <v>0</v>
      </c>
      <c r="R459" s="9">
        <v>0</v>
      </c>
      <c r="S459" s="9">
        <v>1</v>
      </c>
      <c r="T459" s="9">
        <v>0</v>
      </c>
      <c r="U459" s="9">
        <v>0</v>
      </c>
      <c r="V459" s="9">
        <v>0</v>
      </c>
      <c r="W459" s="9">
        <v>0</v>
      </c>
      <c r="X459" s="1">
        <f t="shared" si="4"/>
        <v>8</v>
      </c>
    </row>
    <row r="460" spans="2:24" ht="13.2" x14ac:dyDescent="0.25">
      <c r="B460" s="109"/>
      <c r="C460" s="9">
        <v>2019</v>
      </c>
      <c r="D460" s="9">
        <v>0</v>
      </c>
      <c r="E460" s="9">
        <v>1</v>
      </c>
      <c r="F460" s="9">
        <v>1</v>
      </c>
      <c r="G460" s="9">
        <v>1</v>
      </c>
      <c r="H460" s="9">
        <v>1</v>
      </c>
      <c r="I460" s="9">
        <v>1</v>
      </c>
      <c r="J460" s="9">
        <v>1</v>
      </c>
      <c r="K460" s="9">
        <v>1</v>
      </c>
      <c r="L460" s="9">
        <v>1</v>
      </c>
      <c r="M460" s="9">
        <v>1</v>
      </c>
      <c r="N460" s="9">
        <v>0</v>
      </c>
      <c r="O460" s="9">
        <v>0</v>
      </c>
      <c r="P460" s="9">
        <v>1</v>
      </c>
      <c r="Q460" s="9">
        <v>1</v>
      </c>
      <c r="R460" s="9">
        <v>1</v>
      </c>
      <c r="S460" s="9">
        <v>0</v>
      </c>
      <c r="T460" s="9">
        <v>1</v>
      </c>
      <c r="U460" s="9">
        <v>1</v>
      </c>
      <c r="V460" s="9">
        <v>1</v>
      </c>
      <c r="W460" s="9">
        <v>1</v>
      </c>
      <c r="X460" s="1">
        <f t="shared" si="4"/>
        <v>16</v>
      </c>
    </row>
    <row r="461" spans="2:24" ht="13.2" x14ac:dyDescent="0.25">
      <c r="B461" s="109"/>
      <c r="C461" s="9">
        <v>2020</v>
      </c>
      <c r="D461" s="9">
        <v>0</v>
      </c>
      <c r="E461" s="9">
        <v>1</v>
      </c>
      <c r="F461" s="9">
        <v>0</v>
      </c>
      <c r="G461" s="9">
        <v>1</v>
      </c>
      <c r="H461" s="9">
        <v>1</v>
      </c>
      <c r="I461" s="9">
        <v>1</v>
      </c>
      <c r="J461" s="9">
        <v>0</v>
      </c>
      <c r="K461" s="9">
        <v>1</v>
      </c>
      <c r="L461" s="9">
        <v>1</v>
      </c>
      <c r="M461" s="9">
        <v>0</v>
      </c>
      <c r="N461" s="9">
        <v>0</v>
      </c>
      <c r="O461" s="9">
        <v>0</v>
      </c>
      <c r="P461" s="9">
        <v>1</v>
      </c>
      <c r="Q461" s="9">
        <v>1</v>
      </c>
      <c r="R461" s="9">
        <v>1</v>
      </c>
      <c r="S461" s="9">
        <v>1</v>
      </c>
      <c r="T461" s="9">
        <v>1</v>
      </c>
      <c r="U461" s="9">
        <v>1</v>
      </c>
      <c r="V461" s="9">
        <v>0</v>
      </c>
      <c r="W461" s="9">
        <v>1</v>
      </c>
      <c r="X461" s="1">
        <f t="shared" si="4"/>
        <v>13</v>
      </c>
    </row>
    <row r="462" spans="2:24" ht="13.2" x14ac:dyDescent="0.25">
      <c r="B462" s="109"/>
      <c r="C462" s="9">
        <v>2021</v>
      </c>
      <c r="D462" s="9">
        <v>1</v>
      </c>
      <c r="E462" s="9">
        <v>0</v>
      </c>
      <c r="F462" s="9">
        <v>0</v>
      </c>
      <c r="G462" s="9">
        <v>0</v>
      </c>
      <c r="H462" s="9">
        <v>1</v>
      </c>
      <c r="I462" s="9">
        <v>1</v>
      </c>
      <c r="J462" s="9">
        <v>0</v>
      </c>
      <c r="K462" s="9">
        <v>1</v>
      </c>
      <c r="L462" s="9">
        <v>1</v>
      </c>
      <c r="M462" s="9">
        <v>1</v>
      </c>
      <c r="N462" s="9">
        <v>0</v>
      </c>
      <c r="O462" s="9">
        <v>1</v>
      </c>
      <c r="P462" s="9">
        <v>1</v>
      </c>
      <c r="Q462" s="9">
        <v>0</v>
      </c>
      <c r="R462" s="9">
        <v>0</v>
      </c>
      <c r="S462" s="9">
        <v>1</v>
      </c>
      <c r="T462" s="9">
        <v>1</v>
      </c>
      <c r="U462" s="9">
        <v>0</v>
      </c>
      <c r="V462" s="9">
        <v>0</v>
      </c>
      <c r="W462" s="9">
        <v>0</v>
      </c>
      <c r="X462" s="1">
        <f t="shared" si="4"/>
        <v>10</v>
      </c>
    </row>
    <row r="463" spans="2:24" ht="13.2" x14ac:dyDescent="0.25">
      <c r="B463" s="113"/>
      <c r="C463" s="9">
        <v>2022</v>
      </c>
      <c r="D463" s="9">
        <v>0</v>
      </c>
      <c r="E463" s="9">
        <v>1</v>
      </c>
      <c r="F463" s="9">
        <v>0</v>
      </c>
      <c r="G463" s="9">
        <v>0</v>
      </c>
      <c r="H463" s="9">
        <v>1</v>
      </c>
      <c r="I463" s="9">
        <v>0</v>
      </c>
      <c r="J463" s="9">
        <v>0</v>
      </c>
      <c r="K463" s="9">
        <v>0</v>
      </c>
      <c r="L463" s="9">
        <v>1</v>
      </c>
      <c r="M463" s="9">
        <v>0</v>
      </c>
      <c r="N463" s="9">
        <v>1</v>
      </c>
      <c r="O463" s="9">
        <v>1</v>
      </c>
      <c r="P463" s="9">
        <v>0</v>
      </c>
      <c r="Q463" s="9">
        <v>1</v>
      </c>
      <c r="R463" s="9">
        <v>0</v>
      </c>
      <c r="S463" s="9">
        <v>0</v>
      </c>
      <c r="T463" s="9">
        <v>0</v>
      </c>
      <c r="U463" s="9">
        <v>0</v>
      </c>
      <c r="V463" s="9">
        <v>0</v>
      </c>
      <c r="W463" s="9">
        <v>1</v>
      </c>
      <c r="X463" s="1">
        <f t="shared" si="4"/>
        <v>7</v>
      </c>
    </row>
    <row r="464" spans="2:24" ht="13.2" x14ac:dyDescent="0.25">
      <c r="B464" s="112" t="s">
        <v>129</v>
      </c>
      <c r="C464" s="9">
        <v>2018</v>
      </c>
      <c r="D464" s="9">
        <v>1</v>
      </c>
      <c r="E464" s="9">
        <v>0</v>
      </c>
      <c r="F464" s="9">
        <v>0</v>
      </c>
      <c r="G464" s="9">
        <v>1</v>
      </c>
      <c r="H464" s="9">
        <v>1</v>
      </c>
      <c r="I464" s="9">
        <v>1</v>
      </c>
      <c r="J464" s="9">
        <v>0</v>
      </c>
      <c r="K464" s="9">
        <v>0</v>
      </c>
      <c r="L464" s="9">
        <v>0</v>
      </c>
      <c r="M464" s="9">
        <v>1</v>
      </c>
      <c r="N464" s="9">
        <v>1</v>
      </c>
      <c r="O464" s="9">
        <v>0</v>
      </c>
      <c r="P464" s="9">
        <v>0</v>
      </c>
      <c r="Q464" s="9">
        <v>0</v>
      </c>
      <c r="R464" s="9">
        <v>0</v>
      </c>
      <c r="S464" s="9">
        <v>1</v>
      </c>
      <c r="T464" s="9">
        <v>0</v>
      </c>
      <c r="U464" s="9">
        <v>1</v>
      </c>
      <c r="V464" s="9">
        <v>0</v>
      </c>
      <c r="W464" s="9">
        <v>1</v>
      </c>
      <c r="X464" s="1">
        <f t="shared" si="4"/>
        <v>9</v>
      </c>
    </row>
    <row r="465" spans="2:24" ht="13.2" x14ac:dyDescent="0.25">
      <c r="B465" s="109"/>
      <c r="C465" s="9">
        <v>2019</v>
      </c>
      <c r="D465" s="9">
        <v>1</v>
      </c>
      <c r="E465" s="9">
        <v>0</v>
      </c>
      <c r="F465" s="9">
        <v>1</v>
      </c>
      <c r="G465" s="9">
        <v>1</v>
      </c>
      <c r="H465" s="9">
        <v>1</v>
      </c>
      <c r="I465" s="9">
        <v>0</v>
      </c>
      <c r="J465" s="9">
        <v>0</v>
      </c>
      <c r="K465" s="9">
        <v>1</v>
      </c>
      <c r="L465" s="9">
        <v>0</v>
      </c>
      <c r="M465" s="9">
        <v>0</v>
      </c>
      <c r="N465" s="9">
        <v>1</v>
      </c>
      <c r="O465" s="9">
        <v>0</v>
      </c>
      <c r="P465" s="9">
        <v>0</v>
      </c>
      <c r="Q465" s="9">
        <v>1</v>
      </c>
      <c r="R465" s="9">
        <v>1</v>
      </c>
      <c r="S465" s="9">
        <v>1</v>
      </c>
      <c r="T465" s="9">
        <v>0</v>
      </c>
      <c r="U465" s="9">
        <v>0</v>
      </c>
      <c r="V465" s="9">
        <v>0</v>
      </c>
      <c r="W465" s="9">
        <v>0</v>
      </c>
      <c r="X465" s="1">
        <f t="shared" si="4"/>
        <v>9</v>
      </c>
    </row>
    <row r="466" spans="2:24" ht="13.2" x14ac:dyDescent="0.25">
      <c r="B466" s="109"/>
      <c r="C466" s="9">
        <v>2020</v>
      </c>
      <c r="D466" s="9">
        <v>0</v>
      </c>
      <c r="E466" s="9">
        <v>0</v>
      </c>
      <c r="F466" s="9">
        <v>1</v>
      </c>
      <c r="G466" s="9">
        <v>0</v>
      </c>
      <c r="H466" s="9">
        <v>0</v>
      </c>
      <c r="I466" s="9">
        <v>1</v>
      </c>
      <c r="J466" s="9">
        <v>0</v>
      </c>
      <c r="K466" s="9">
        <v>0</v>
      </c>
      <c r="L466" s="9">
        <v>0</v>
      </c>
      <c r="M466" s="9">
        <v>0</v>
      </c>
      <c r="N466" s="9">
        <v>1</v>
      </c>
      <c r="O466" s="9">
        <v>0</v>
      </c>
      <c r="P466" s="9">
        <v>1</v>
      </c>
      <c r="Q466" s="9">
        <v>0</v>
      </c>
      <c r="R466" s="9">
        <v>0</v>
      </c>
      <c r="S466" s="9">
        <v>0</v>
      </c>
      <c r="T466" s="9">
        <v>1</v>
      </c>
      <c r="U466" s="9">
        <v>0</v>
      </c>
      <c r="V466" s="9">
        <v>1</v>
      </c>
      <c r="W466" s="9">
        <v>1</v>
      </c>
      <c r="X466" s="1">
        <f t="shared" si="4"/>
        <v>7</v>
      </c>
    </row>
    <row r="467" spans="2:24" ht="13.2" x14ac:dyDescent="0.25">
      <c r="B467" s="109"/>
      <c r="C467" s="9">
        <v>2021</v>
      </c>
      <c r="D467" s="9">
        <v>1</v>
      </c>
      <c r="E467" s="9">
        <v>1</v>
      </c>
      <c r="F467" s="9">
        <v>0</v>
      </c>
      <c r="G467" s="9">
        <v>1</v>
      </c>
      <c r="H467" s="9">
        <v>1</v>
      </c>
      <c r="I467" s="9">
        <v>0</v>
      </c>
      <c r="J467" s="9">
        <v>0</v>
      </c>
      <c r="K467" s="9">
        <v>1</v>
      </c>
      <c r="L467" s="9">
        <v>1</v>
      </c>
      <c r="M467" s="9">
        <v>0</v>
      </c>
      <c r="N467" s="9">
        <v>0</v>
      </c>
      <c r="O467" s="9">
        <v>1</v>
      </c>
      <c r="P467" s="9">
        <v>0</v>
      </c>
      <c r="Q467" s="9">
        <v>1</v>
      </c>
      <c r="R467" s="9">
        <v>0</v>
      </c>
      <c r="S467" s="9">
        <v>0</v>
      </c>
      <c r="T467" s="9">
        <v>0</v>
      </c>
      <c r="U467" s="9">
        <v>0</v>
      </c>
      <c r="V467" s="9">
        <v>0</v>
      </c>
      <c r="W467" s="9">
        <v>0</v>
      </c>
      <c r="X467" s="1">
        <f t="shared" si="4"/>
        <v>8</v>
      </c>
    </row>
    <row r="468" spans="2:24" ht="13.2" x14ac:dyDescent="0.25">
      <c r="B468" s="113"/>
      <c r="C468" s="9">
        <v>2022</v>
      </c>
      <c r="D468" s="9">
        <v>0</v>
      </c>
      <c r="E468" s="9">
        <v>1</v>
      </c>
      <c r="F468" s="9">
        <v>1</v>
      </c>
      <c r="G468" s="9">
        <v>0</v>
      </c>
      <c r="H468" s="9">
        <v>1</v>
      </c>
      <c r="I468" s="9">
        <v>0</v>
      </c>
      <c r="J468" s="9">
        <v>0</v>
      </c>
      <c r="K468" s="9">
        <v>1</v>
      </c>
      <c r="L468" s="9">
        <v>0</v>
      </c>
      <c r="M468" s="9">
        <v>1</v>
      </c>
      <c r="N468" s="9">
        <v>0</v>
      </c>
      <c r="O468" s="9">
        <v>0</v>
      </c>
      <c r="P468" s="9">
        <v>1</v>
      </c>
      <c r="Q468" s="9">
        <v>0</v>
      </c>
      <c r="R468" s="9">
        <v>0</v>
      </c>
      <c r="S468" s="9">
        <v>0</v>
      </c>
      <c r="T468" s="9">
        <v>1</v>
      </c>
      <c r="U468" s="9">
        <v>0</v>
      </c>
      <c r="V468" s="9">
        <v>1</v>
      </c>
      <c r="W468" s="9">
        <v>1</v>
      </c>
      <c r="X468" s="1">
        <f t="shared" si="4"/>
        <v>9</v>
      </c>
    </row>
    <row r="469" spans="2:24" ht="13.2" x14ac:dyDescent="0.25">
      <c r="B469" s="112" t="s">
        <v>140</v>
      </c>
      <c r="C469" s="9">
        <v>2018</v>
      </c>
      <c r="D469" s="9">
        <v>1</v>
      </c>
      <c r="E469" s="9">
        <v>0</v>
      </c>
      <c r="F469" s="9">
        <v>0</v>
      </c>
      <c r="G469" s="9">
        <v>0</v>
      </c>
      <c r="H469" s="9">
        <v>1</v>
      </c>
      <c r="I469" s="9">
        <v>1</v>
      </c>
      <c r="J469" s="9">
        <v>1</v>
      </c>
      <c r="K469" s="9">
        <v>1</v>
      </c>
      <c r="L469" s="9">
        <v>0</v>
      </c>
      <c r="M469" s="9">
        <v>1</v>
      </c>
      <c r="N469" s="9">
        <v>0</v>
      </c>
      <c r="O469" s="9">
        <v>1</v>
      </c>
      <c r="P469" s="9">
        <v>0</v>
      </c>
      <c r="Q469" s="9">
        <v>1</v>
      </c>
      <c r="R469" s="9">
        <v>1</v>
      </c>
      <c r="S469" s="9">
        <v>1</v>
      </c>
      <c r="T469" s="9">
        <v>1</v>
      </c>
      <c r="U469" s="9">
        <v>1</v>
      </c>
      <c r="V469" s="9">
        <v>0</v>
      </c>
      <c r="W469" s="9">
        <v>0</v>
      </c>
      <c r="X469" s="1">
        <f t="shared" si="4"/>
        <v>12</v>
      </c>
    </row>
    <row r="470" spans="2:24" ht="13.2" x14ac:dyDescent="0.25">
      <c r="B470" s="109"/>
      <c r="C470" s="9">
        <v>2019</v>
      </c>
      <c r="D470" s="9">
        <v>1</v>
      </c>
      <c r="E470" s="9">
        <v>0</v>
      </c>
      <c r="F470" s="9">
        <v>0</v>
      </c>
      <c r="G470" s="9">
        <v>1</v>
      </c>
      <c r="H470" s="9">
        <v>0</v>
      </c>
      <c r="I470" s="9">
        <v>1</v>
      </c>
      <c r="J470" s="9">
        <v>0</v>
      </c>
      <c r="K470" s="9">
        <v>1</v>
      </c>
      <c r="L470" s="9">
        <v>1</v>
      </c>
      <c r="M470" s="9">
        <v>1</v>
      </c>
      <c r="N470" s="9">
        <v>0</v>
      </c>
      <c r="O470" s="9">
        <v>0</v>
      </c>
      <c r="P470" s="9">
        <v>0</v>
      </c>
      <c r="Q470" s="9">
        <v>0</v>
      </c>
      <c r="R470" s="9">
        <v>1</v>
      </c>
      <c r="S470" s="9">
        <v>1</v>
      </c>
      <c r="T470" s="9">
        <v>1</v>
      </c>
      <c r="U470" s="9">
        <v>1</v>
      </c>
      <c r="V470" s="9">
        <v>1</v>
      </c>
      <c r="W470" s="9">
        <v>0</v>
      </c>
      <c r="X470" s="1">
        <f t="shared" si="4"/>
        <v>11</v>
      </c>
    </row>
    <row r="471" spans="2:24" ht="13.2" x14ac:dyDescent="0.25">
      <c r="B471" s="109"/>
      <c r="C471" s="9">
        <v>2020</v>
      </c>
      <c r="D471" s="9">
        <v>0</v>
      </c>
      <c r="E471" s="9">
        <v>1</v>
      </c>
      <c r="F471" s="9">
        <v>0</v>
      </c>
      <c r="G471" s="9">
        <v>1</v>
      </c>
      <c r="H471" s="9">
        <v>0</v>
      </c>
      <c r="I471" s="9">
        <v>0</v>
      </c>
      <c r="J471" s="9">
        <v>0</v>
      </c>
      <c r="K471" s="9">
        <v>0</v>
      </c>
      <c r="L471" s="9">
        <v>0</v>
      </c>
      <c r="M471" s="9">
        <v>0</v>
      </c>
      <c r="N471" s="9">
        <v>1</v>
      </c>
      <c r="O471" s="9">
        <v>0</v>
      </c>
      <c r="P471" s="9">
        <v>0</v>
      </c>
      <c r="Q471" s="9">
        <v>0</v>
      </c>
      <c r="R471" s="9">
        <v>1</v>
      </c>
      <c r="S471" s="9">
        <v>1</v>
      </c>
      <c r="T471" s="9">
        <v>1</v>
      </c>
      <c r="U471" s="9">
        <v>0</v>
      </c>
      <c r="V471" s="9">
        <v>1</v>
      </c>
      <c r="W471" s="9">
        <v>1</v>
      </c>
      <c r="X471" s="1">
        <f t="shared" si="4"/>
        <v>8</v>
      </c>
    </row>
    <row r="472" spans="2:24" ht="13.2" x14ac:dyDescent="0.25">
      <c r="B472" s="109"/>
      <c r="C472" s="9">
        <v>2021</v>
      </c>
      <c r="D472" s="9">
        <v>0</v>
      </c>
      <c r="E472" s="9">
        <v>1</v>
      </c>
      <c r="F472" s="9">
        <v>1</v>
      </c>
      <c r="G472" s="9">
        <v>1</v>
      </c>
      <c r="H472" s="9">
        <v>0</v>
      </c>
      <c r="I472" s="9">
        <v>0</v>
      </c>
      <c r="J472" s="9">
        <v>1</v>
      </c>
      <c r="K472" s="9">
        <v>0</v>
      </c>
      <c r="L472" s="9">
        <v>1</v>
      </c>
      <c r="M472" s="9">
        <v>0</v>
      </c>
      <c r="N472" s="9">
        <v>0</v>
      </c>
      <c r="O472" s="9">
        <v>1</v>
      </c>
      <c r="P472" s="9">
        <v>1</v>
      </c>
      <c r="Q472" s="9">
        <v>0</v>
      </c>
      <c r="R472" s="9">
        <v>1</v>
      </c>
      <c r="S472" s="9">
        <v>0</v>
      </c>
      <c r="T472" s="9">
        <v>0</v>
      </c>
      <c r="U472" s="9">
        <v>1</v>
      </c>
      <c r="V472" s="9">
        <v>0</v>
      </c>
      <c r="W472" s="9">
        <v>0</v>
      </c>
      <c r="X472" s="1">
        <f t="shared" si="4"/>
        <v>9</v>
      </c>
    </row>
    <row r="473" spans="2:24" ht="13.2" x14ac:dyDescent="0.25">
      <c r="B473" s="113"/>
      <c r="C473" s="9">
        <v>2022</v>
      </c>
      <c r="D473" s="9">
        <v>1</v>
      </c>
      <c r="E473" s="9">
        <v>0</v>
      </c>
      <c r="F473" s="9">
        <v>1</v>
      </c>
      <c r="G473" s="9">
        <v>1</v>
      </c>
      <c r="H473" s="9">
        <v>0</v>
      </c>
      <c r="I473" s="9">
        <v>1</v>
      </c>
      <c r="J473" s="9">
        <v>0</v>
      </c>
      <c r="K473" s="9">
        <v>0</v>
      </c>
      <c r="L473" s="9">
        <v>0</v>
      </c>
      <c r="M473" s="9">
        <v>1</v>
      </c>
      <c r="N473" s="9">
        <v>1</v>
      </c>
      <c r="O473" s="9">
        <v>0</v>
      </c>
      <c r="P473" s="9">
        <v>1</v>
      </c>
      <c r="Q473" s="9">
        <v>1</v>
      </c>
      <c r="R473" s="9">
        <v>1</v>
      </c>
      <c r="S473" s="9">
        <v>0</v>
      </c>
      <c r="T473" s="9">
        <v>0</v>
      </c>
      <c r="U473" s="9">
        <v>1</v>
      </c>
      <c r="V473" s="9">
        <v>1</v>
      </c>
      <c r="W473" s="9">
        <v>1</v>
      </c>
      <c r="X473" s="1">
        <f t="shared" si="4"/>
        <v>12</v>
      </c>
    </row>
    <row r="474" spans="2:24" ht="13.2" x14ac:dyDescent="0.25">
      <c r="B474" s="112" t="s">
        <v>150</v>
      </c>
      <c r="C474" s="9">
        <v>2018</v>
      </c>
      <c r="D474" s="9">
        <v>0</v>
      </c>
      <c r="E474" s="9">
        <v>1</v>
      </c>
      <c r="F474" s="9">
        <v>1</v>
      </c>
      <c r="G474" s="9">
        <v>0</v>
      </c>
      <c r="H474" s="9">
        <v>0</v>
      </c>
      <c r="I474" s="9">
        <v>1</v>
      </c>
      <c r="J474" s="9">
        <v>0</v>
      </c>
      <c r="K474" s="9">
        <v>1</v>
      </c>
      <c r="L474" s="9">
        <v>1</v>
      </c>
      <c r="M474" s="9">
        <v>1</v>
      </c>
      <c r="N474" s="9">
        <v>1</v>
      </c>
      <c r="O474" s="9">
        <v>0</v>
      </c>
      <c r="P474" s="9">
        <v>1</v>
      </c>
      <c r="Q474" s="9">
        <v>1</v>
      </c>
      <c r="R474" s="9">
        <v>0</v>
      </c>
      <c r="S474" s="9">
        <v>1</v>
      </c>
      <c r="T474" s="9">
        <v>1</v>
      </c>
      <c r="U474" s="9">
        <v>1</v>
      </c>
      <c r="V474" s="9">
        <v>1</v>
      </c>
      <c r="W474" s="9">
        <v>0</v>
      </c>
      <c r="X474" s="1">
        <f t="shared" si="4"/>
        <v>13</v>
      </c>
    </row>
    <row r="475" spans="2:24" ht="13.2" x14ac:dyDescent="0.25">
      <c r="B475" s="109"/>
      <c r="C475" s="9">
        <v>2019</v>
      </c>
      <c r="D475" s="9">
        <v>1</v>
      </c>
      <c r="E475" s="9">
        <v>0</v>
      </c>
      <c r="F475" s="9">
        <v>1</v>
      </c>
      <c r="G475" s="9">
        <v>0</v>
      </c>
      <c r="H475" s="9">
        <v>1</v>
      </c>
      <c r="I475" s="9">
        <v>1</v>
      </c>
      <c r="J475" s="9">
        <v>0</v>
      </c>
      <c r="K475" s="9">
        <v>1</v>
      </c>
      <c r="L475" s="9">
        <v>0</v>
      </c>
      <c r="M475" s="9">
        <v>1</v>
      </c>
      <c r="N475" s="9">
        <v>1</v>
      </c>
      <c r="O475" s="9">
        <v>1</v>
      </c>
      <c r="P475" s="9">
        <v>0</v>
      </c>
      <c r="Q475" s="9">
        <v>1</v>
      </c>
      <c r="R475" s="9">
        <v>1</v>
      </c>
      <c r="S475" s="9">
        <v>1</v>
      </c>
      <c r="T475" s="9">
        <v>1</v>
      </c>
      <c r="U475" s="9">
        <v>0</v>
      </c>
      <c r="V475" s="9">
        <v>0</v>
      </c>
      <c r="W475" s="9">
        <v>0</v>
      </c>
      <c r="X475" s="1">
        <f t="shared" si="4"/>
        <v>12</v>
      </c>
    </row>
    <row r="476" spans="2:24" ht="13.2" x14ac:dyDescent="0.25">
      <c r="B476" s="109"/>
      <c r="C476" s="9">
        <v>2020</v>
      </c>
      <c r="D476" s="9">
        <v>1</v>
      </c>
      <c r="E476" s="9">
        <v>0</v>
      </c>
      <c r="F476" s="9">
        <v>0</v>
      </c>
      <c r="G476" s="9">
        <v>1</v>
      </c>
      <c r="H476" s="9">
        <v>1</v>
      </c>
      <c r="I476" s="9">
        <v>1</v>
      </c>
      <c r="J476" s="9">
        <v>1</v>
      </c>
      <c r="K476" s="9">
        <v>1</v>
      </c>
      <c r="L476" s="9">
        <v>0</v>
      </c>
      <c r="M476" s="9">
        <v>0</v>
      </c>
      <c r="N476" s="9">
        <v>0</v>
      </c>
      <c r="O476" s="9">
        <v>1</v>
      </c>
      <c r="P476" s="9">
        <v>0</v>
      </c>
      <c r="Q476" s="9">
        <v>0</v>
      </c>
      <c r="R476" s="9">
        <v>1</v>
      </c>
      <c r="S476" s="9">
        <v>1</v>
      </c>
      <c r="T476" s="9">
        <v>0</v>
      </c>
      <c r="U476" s="9">
        <v>0</v>
      </c>
      <c r="V476" s="9">
        <v>1</v>
      </c>
      <c r="W476" s="9">
        <v>0</v>
      </c>
      <c r="X476" s="1">
        <f t="shared" si="4"/>
        <v>10</v>
      </c>
    </row>
    <row r="477" spans="2:24" ht="13.2" x14ac:dyDescent="0.25">
      <c r="B477" s="109"/>
      <c r="C477" s="9">
        <v>2021</v>
      </c>
      <c r="D477" s="9">
        <v>1</v>
      </c>
      <c r="E477" s="9">
        <v>1</v>
      </c>
      <c r="F477" s="9">
        <v>0</v>
      </c>
      <c r="G477" s="9">
        <v>1</v>
      </c>
      <c r="H477" s="9">
        <v>1</v>
      </c>
      <c r="I477" s="9">
        <v>0</v>
      </c>
      <c r="J477" s="9">
        <v>1</v>
      </c>
      <c r="K477" s="9">
        <v>0</v>
      </c>
      <c r="L477" s="9">
        <v>1</v>
      </c>
      <c r="M477" s="9">
        <v>1</v>
      </c>
      <c r="N477" s="9">
        <v>1</v>
      </c>
      <c r="O477" s="9">
        <v>1</v>
      </c>
      <c r="P477" s="9">
        <v>1</v>
      </c>
      <c r="Q477" s="9">
        <v>0</v>
      </c>
      <c r="R477" s="9">
        <v>0</v>
      </c>
      <c r="S477" s="9">
        <v>1</v>
      </c>
      <c r="T477" s="9">
        <v>1</v>
      </c>
      <c r="U477" s="9">
        <v>1</v>
      </c>
      <c r="V477" s="9">
        <v>1</v>
      </c>
      <c r="W477" s="9">
        <v>0</v>
      </c>
      <c r="X477" s="1">
        <f t="shared" si="4"/>
        <v>14</v>
      </c>
    </row>
    <row r="478" spans="2:24" ht="13.2" x14ac:dyDescent="0.25">
      <c r="B478" s="113"/>
      <c r="C478" s="9">
        <v>2022</v>
      </c>
      <c r="D478" s="9">
        <v>1</v>
      </c>
      <c r="E478" s="9">
        <v>0</v>
      </c>
      <c r="F478" s="9">
        <v>1</v>
      </c>
      <c r="G478" s="9">
        <v>0</v>
      </c>
      <c r="H478" s="9">
        <v>1</v>
      </c>
      <c r="I478" s="9">
        <v>1</v>
      </c>
      <c r="J478" s="9">
        <v>1</v>
      </c>
      <c r="K478" s="9">
        <v>1</v>
      </c>
      <c r="L478" s="9">
        <v>1</v>
      </c>
      <c r="M478" s="9">
        <v>1</v>
      </c>
      <c r="N478" s="9">
        <v>1</v>
      </c>
      <c r="O478" s="9">
        <v>1</v>
      </c>
      <c r="P478" s="9">
        <v>1</v>
      </c>
      <c r="Q478" s="9">
        <v>0</v>
      </c>
      <c r="R478" s="9">
        <v>0</v>
      </c>
      <c r="S478" s="9">
        <v>0</v>
      </c>
      <c r="T478" s="9">
        <v>0</v>
      </c>
      <c r="U478" s="9">
        <v>0</v>
      </c>
      <c r="V478" s="9">
        <v>1</v>
      </c>
      <c r="W478" s="9">
        <v>0</v>
      </c>
      <c r="X478" s="1">
        <f t="shared" si="4"/>
        <v>12</v>
      </c>
    </row>
    <row r="479" spans="2:24" ht="13.2" x14ac:dyDescent="0.25">
      <c r="B479" s="112" t="s">
        <v>156</v>
      </c>
      <c r="C479" s="9">
        <v>2018</v>
      </c>
      <c r="D479" s="9">
        <v>0</v>
      </c>
      <c r="E479" s="9">
        <v>1</v>
      </c>
      <c r="F479" s="9">
        <v>1</v>
      </c>
      <c r="G479" s="9">
        <v>1</v>
      </c>
      <c r="H479" s="9">
        <v>0</v>
      </c>
      <c r="I479" s="9">
        <v>1</v>
      </c>
      <c r="J479" s="9">
        <v>1</v>
      </c>
      <c r="K479" s="9">
        <v>0</v>
      </c>
      <c r="L479" s="9">
        <v>0</v>
      </c>
      <c r="M479" s="9">
        <v>1</v>
      </c>
      <c r="N479" s="9">
        <v>1</v>
      </c>
      <c r="O479" s="9">
        <v>0</v>
      </c>
      <c r="P479" s="9">
        <v>0</v>
      </c>
      <c r="Q479" s="9">
        <v>1</v>
      </c>
      <c r="R479" s="9">
        <v>0</v>
      </c>
      <c r="S479" s="9">
        <v>0</v>
      </c>
      <c r="T479" s="9">
        <v>1</v>
      </c>
      <c r="U479" s="9">
        <v>0</v>
      </c>
      <c r="V479" s="9">
        <v>0</v>
      </c>
      <c r="W479" s="9">
        <v>0</v>
      </c>
      <c r="X479" s="1">
        <f t="shared" si="4"/>
        <v>9</v>
      </c>
    </row>
    <row r="480" spans="2:24" ht="13.2" x14ac:dyDescent="0.25">
      <c r="B480" s="109"/>
      <c r="C480" s="9">
        <v>2019</v>
      </c>
      <c r="D480" s="9">
        <v>1</v>
      </c>
      <c r="E480" s="9">
        <v>1</v>
      </c>
      <c r="F480" s="9">
        <v>1</v>
      </c>
      <c r="G480" s="9">
        <v>0</v>
      </c>
      <c r="H480" s="9">
        <v>1</v>
      </c>
      <c r="I480" s="9">
        <v>1</v>
      </c>
      <c r="J480" s="9">
        <v>1</v>
      </c>
      <c r="K480" s="9">
        <v>1</v>
      </c>
      <c r="L480" s="9">
        <v>0</v>
      </c>
      <c r="M480" s="9">
        <v>0</v>
      </c>
      <c r="N480" s="9">
        <v>1</v>
      </c>
      <c r="O480" s="9">
        <v>1</v>
      </c>
      <c r="P480" s="9">
        <v>0</v>
      </c>
      <c r="Q480" s="9">
        <v>1</v>
      </c>
      <c r="R480" s="9">
        <v>0</v>
      </c>
      <c r="S480" s="9">
        <v>1</v>
      </c>
      <c r="T480" s="9">
        <v>0</v>
      </c>
      <c r="U480" s="9">
        <v>0</v>
      </c>
      <c r="V480" s="9">
        <v>0</v>
      </c>
      <c r="W480" s="9">
        <v>0</v>
      </c>
      <c r="X480" s="1">
        <f t="shared" si="4"/>
        <v>11</v>
      </c>
    </row>
    <row r="481" spans="2:24" ht="13.2" x14ac:dyDescent="0.25">
      <c r="B481" s="109"/>
      <c r="C481" s="9">
        <v>2020</v>
      </c>
      <c r="D481" s="9">
        <v>0</v>
      </c>
      <c r="E481" s="9">
        <v>1</v>
      </c>
      <c r="F481" s="9">
        <v>0</v>
      </c>
      <c r="G481" s="9">
        <v>0</v>
      </c>
      <c r="H481" s="9">
        <v>0</v>
      </c>
      <c r="I481" s="9">
        <v>1</v>
      </c>
      <c r="J481" s="9">
        <v>1</v>
      </c>
      <c r="K481" s="9">
        <v>0</v>
      </c>
      <c r="L481" s="9">
        <v>1</v>
      </c>
      <c r="M481" s="9">
        <v>1</v>
      </c>
      <c r="N481" s="9">
        <v>0</v>
      </c>
      <c r="O481" s="9">
        <v>0</v>
      </c>
      <c r="P481" s="9">
        <v>1</v>
      </c>
      <c r="Q481" s="9">
        <v>0</v>
      </c>
      <c r="R481" s="9">
        <v>0</v>
      </c>
      <c r="S481" s="9">
        <v>0</v>
      </c>
      <c r="T481" s="9">
        <v>0</v>
      </c>
      <c r="U481" s="9">
        <v>0</v>
      </c>
      <c r="V481" s="9">
        <v>0</v>
      </c>
      <c r="W481" s="9">
        <v>0</v>
      </c>
      <c r="X481" s="1">
        <f t="shared" si="4"/>
        <v>6</v>
      </c>
    </row>
    <row r="482" spans="2:24" ht="13.2" x14ac:dyDescent="0.25">
      <c r="B482" s="109"/>
      <c r="C482" s="9">
        <v>2021</v>
      </c>
      <c r="D482" s="9">
        <v>1</v>
      </c>
      <c r="E482" s="9">
        <v>1</v>
      </c>
      <c r="F482" s="9">
        <v>0</v>
      </c>
      <c r="G482" s="9">
        <v>0</v>
      </c>
      <c r="H482" s="9">
        <v>1</v>
      </c>
      <c r="I482" s="9">
        <v>1</v>
      </c>
      <c r="J482" s="9">
        <v>0</v>
      </c>
      <c r="K482" s="9">
        <v>1</v>
      </c>
      <c r="L482" s="9">
        <v>1</v>
      </c>
      <c r="M482" s="9">
        <v>1</v>
      </c>
      <c r="N482" s="9">
        <v>0</v>
      </c>
      <c r="O482" s="9">
        <v>1</v>
      </c>
      <c r="P482" s="9">
        <v>1</v>
      </c>
      <c r="Q482" s="9">
        <v>0</v>
      </c>
      <c r="R482" s="9">
        <v>0</v>
      </c>
      <c r="S482" s="9">
        <v>1</v>
      </c>
      <c r="T482" s="9">
        <v>0</v>
      </c>
      <c r="U482" s="9">
        <v>1</v>
      </c>
      <c r="V482" s="9">
        <v>0</v>
      </c>
      <c r="W482" s="9">
        <v>1</v>
      </c>
      <c r="X482" s="1">
        <f t="shared" si="4"/>
        <v>12</v>
      </c>
    </row>
    <row r="483" spans="2:24" ht="13.2" x14ac:dyDescent="0.25">
      <c r="B483" s="113"/>
      <c r="C483" s="9">
        <v>2022</v>
      </c>
      <c r="D483" s="9">
        <v>0</v>
      </c>
      <c r="E483" s="9">
        <v>1</v>
      </c>
      <c r="F483" s="9">
        <v>1</v>
      </c>
      <c r="G483" s="9">
        <v>0</v>
      </c>
      <c r="H483" s="9">
        <v>1</v>
      </c>
      <c r="I483" s="9">
        <v>0</v>
      </c>
      <c r="J483" s="9">
        <v>1</v>
      </c>
      <c r="K483" s="9">
        <v>1</v>
      </c>
      <c r="L483" s="9">
        <v>0</v>
      </c>
      <c r="M483" s="9">
        <v>1</v>
      </c>
      <c r="N483" s="9">
        <v>1</v>
      </c>
      <c r="O483" s="9">
        <v>0</v>
      </c>
      <c r="P483" s="9">
        <v>1</v>
      </c>
      <c r="Q483" s="9">
        <v>0</v>
      </c>
      <c r="R483" s="9">
        <v>0</v>
      </c>
      <c r="S483" s="9">
        <v>1</v>
      </c>
      <c r="T483" s="9">
        <v>0</v>
      </c>
      <c r="U483" s="9">
        <v>0</v>
      </c>
      <c r="V483" s="9">
        <v>0</v>
      </c>
      <c r="W483" s="9">
        <v>0</v>
      </c>
      <c r="X483" s="1">
        <f t="shared" si="4"/>
        <v>9</v>
      </c>
    </row>
    <row r="484" spans="2:24" ht="13.2" x14ac:dyDescent="0.25">
      <c r="B484" s="112" t="s">
        <v>162</v>
      </c>
      <c r="C484" s="9">
        <v>2018</v>
      </c>
      <c r="D484" s="9">
        <v>0</v>
      </c>
      <c r="E484" s="9">
        <v>1</v>
      </c>
      <c r="F484" s="9">
        <v>0</v>
      </c>
      <c r="G484" s="9">
        <v>0</v>
      </c>
      <c r="H484" s="9">
        <v>1</v>
      </c>
      <c r="I484" s="9">
        <v>0</v>
      </c>
      <c r="J484" s="9">
        <v>0</v>
      </c>
      <c r="K484" s="9">
        <v>0</v>
      </c>
      <c r="L484" s="9">
        <v>1</v>
      </c>
      <c r="M484" s="9">
        <v>1</v>
      </c>
      <c r="N484" s="9">
        <v>0</v>
      </c>
      <c r="O484" s="9">
        <v>1</v>
      </c>
      <c r="P484" s="9">
        <v>1</v>
      </c>
      <c r="Q484" s="9">
        <v>0</v>
      </c>
      <c r="R484" s="9">
        <v>1</v>
      </c>
      <c r="S484" s="9">
        <v>1</v>
      </c>
      <c r="T484" s="9">
        <v>1</v>
      </c>
      <c r="U484" s="9">
        <v>0</v>
      </c>
      <c r="V484" s="9">
        <v>0</v>
      </c>
      <c r="W484" s="9">
        <v>1</v>
      </c>
      <c r="X484" s="1">
        <f t="shared" si="4"/>
        <v>10</v>
      </c>
    </row>
    <row r="485" spans="2:24" ht="13.2" x14ac:dyDescent="0.25">
      <c r="B485" s="109"/>
      <c r="C485" s="9">
        <v>2019</v>
      </c>
      <c r="D485" s="9">
        <v>1</v>
      </c>
      <c r="E485" s="9">
        <v>0</v>
      </c>
      <c r="F485" s="9">
        <v>0</v>
      </c>
      <c r="G485" s="9">
        <v>1</v>
      </c>
      <c r="H485" s="9">
        <v>0</v>
      </c>
      <c r="I485" s="9">
        <v>1</v>
      </c>
      <c r="J485" s="9">
        <v>0</v>
      </c>
      <c r="K485" s="9">
        <v>1</v>
      </c>
      <c r="L485" s="9">
        <v>0</v>
      </c>
      <c r="M485" s="9">
        <v>1</v>
      </c>
      <c r="N485" s="9">
        <v>0</v>
      </c>
      <c r="O485" s="9">
        <v>1</v>
      </c>
      <c r="P485" s="9">
        <v>0</v>
      </c>
      <c r="Q485" s="9">
        <v>0</v>
      </c>
      <c r="R485" s="9">
        <v>0</v>
      </c>
      <c r="S485" s="9">
        <v>0</v>
      </c>
      <c r="T485" s="9">
        <v>0</v>
      </c>
      <c r="U485" s="9">
        <v>1</v>
      </c>
      <c r="V485" s="9">
        <v>0</v>
      </c>
      <c r="W485" s="9">
        <v>0</v>
      </c>
      <c r="X485" s="1">
        <f t="shared" si="4"/>
        <v>7</v>
      </c>
    </row>
    <row r="486" spans="2:24" ht="13.2" x14ac:dyDescent="0.25">
      <c r="B486" s="109"/>
      <c r="C486" s="9">
        <v>2020</v>
      </c>
      <c r="D486" s="9">
        <v>0</v>
      </c>
      <c r="E486" s="9">
        <v>1</v>
      </c>
      <c r="F486" s="9">
        <v>0</v>
      </c>
      <c r="G486" s="9">
        <v>0</v>
      </c>
      <c r="H486" s="9">
        <v>0</v>
      </c>
      <c r="I486" s="9">
        <v>1</v>
      </c>
      <c r="J486" s="9">
        <v>1</v>
      </c>
      <c r="K486" s="9">
        <v>0</v>
      </c>
      <c r="L486" s="9">
        <v>0</v>
      </c>
      <c r="M486" s="9">
        <v>1</v>
      </c>
      <c r="N486" s="9">
        <v>1</v>
      </c>
      <c r="O486" s="9">
        <v>0</v>
      </c>
      <c r="P486" s="9">
        <v>1</v>
      </c>
      <c r="Q486" s="9">
        <v>0</v>
      </c>
      <c r="R486" s="9">
        <v>1</v>
      </c>
      <c r="S486" s="9">
        <v>0</v>
      </c>
      <c r="T486" s="9">
        <v>0</v>
      </c>
      <c r="U486" s="9">
        <v>1</v>
      </c>
      <c r="V486" s="9">
        <v>0</v>
      </c>
      <c r="W486" s="9">
        <v>1</v>
      </c>
      <c r="X486" s="1">
        <f t="shared" si="4"/>
        <v>9</v>
      </c>
    </row>
    <row r="487" spans="2:24" ht="13.2" x14ac:dyDescent="0.25">
      <c r="B487" s="109"/>
      <c r="C487" s="9">
        <v>2021</v>
      </c>
      <c r="D487" s="9">
        <v>1</v>
      </c>
      <c r="E487" s="9">
        <v>1</v>
      </c>
      <c r="F487" s="9">
        <v>0</v>
      </c>
      <c r="G487" s="9">
        <v>1</v>
      </c>
      <c r="H487" s="9">
        <v>1</v>
      </c>
      <c r="I487" s="9">
        <v>1</v>
      </c>
      <c r="J487" s="9">
        <v>1</v>
      </c>
      <c r="K487" s="9">
        <v>1</v>
      </c>
      <c r="L487" s="9">
        <v>0</v>
      </c>
      <c r="M487" s="9">
        <v>1</v>
      </c>
      <c r="N487" s="9">
        <v>1</v>
      </c>
      <c r="O487" s="9">
        <v>0</v>
      </c>
      <c r="P487" s="9">
        <v>1</v>
      </c>
      <c r="Q487" s="9">
        <v>0</v>
      </c>
      <c r="R487" s="9">
        <v>1</v>
      </c>
      <c r="S487" s="9">
        <v>0</v>
      </c>
      <c r="T487" s="9">
        <v>0</v>
      </c>
      <c r="U487" s="9">
        <v>1</v>
      </c>
      <c r="V487" s="9">
        <v>1</v>
      </c>
      <c r="W487" s="9">
        <v>1</v>
      </c>
      <c r="X487" s="1">
        <f t="shared" si="4"/>
        <v>14</v>
      </c>
    </row>
    <row r="488" spans="2:24" ht="13.2" x14ac:dyDescent="0.25">
      <c r="B488" s="113"/>
      <c r="C488" s="9">
        <v>2022</v>
      </c>
      <c r="D488" s="9">
        <v>0</v>
      </c>
      <c r="E488" s="9">
        <v>1</v>
      </c>
      <c r="F488" s="9">
        <v>1</v>
      </c>
      <c r="G488" s="9">
        <v>1</v>
      </c>
      <c r="H488" s="9">
        <v>1</v>
      </c>
      <c r="I488" s="9">
        <v>0</v>
      </c>
      <c r="J488" s="9">
        <v>1</v>
      </c>
      <c r="K488" s="9">
        <v>1</v>
      </c>
      <c r="L488" s="9">
        <v>0</v>
      </c>
      <c r="M488" s="9">
        <v>0</v>
      </c>
      <c r="N488" s="9">
        <v>0</v>
      </c>
      <c r="O488" s="9">
        <v>0</v>
      </c>
      <c r="P488" s="9">
        <v>1</v>
      </c>
      <c r="Q488" s="9">
        <v>0</v>
      </c>
      <c r="R488" s="9">
        <v>1</v>
      </c>
      <c r="S488" s="9">
        <v>0</v>
      </c>
      <c r="T488" s="9">
        <v>1</v>
      </c>
      <c r="U488" s="9">
        <v>1</v>
      </c>
      <c r="V488" s="9">
        <v>0</v>
      </c>
      <c r="W488" s="9">
        <v>0</v>
      </c>
      <c r="X488" s="1">
        <f t="shared" si="4"/>
        <v>10</v>
      </c>
    </row>
    <row r="489" spans="2:24" ht="13.2" x14ac:dyDescent="0.25">
      <c r="B489" s="112" t="s">
        <v>168</v>
      </c>
      <c r="C489" s="9">
        <v>2018</v>
      </c>
      <c r="D489" s="9">
        <v>0</v>
      </c>
      <c r="E489" s="9">
        <v>1</v>
      </c>
      <c r="F489" s="9">
        <v>0</v>
      </c>
      <c r="G489" s="9">
        <v>0</v>
      </c>
      <c r="H489" s="9">
        <v>0</v>
      </c>
      <c r="I489" s="9">
        <v>1</v>
      </c>
      <c r="J489" s="9">
        <v>0</v>
      </c>
      <c r="K489" s="9">
        <v>1</v>
      </c>
      <c r="L489" s="9">
        <v>0</v>
      </c>
      <c r="M489" s="9">
        <v>1</v>
      </c>
      <c r="N489" s="9">
        <v>0</v>
      </c>
      <c r="O489" s="9">
        <v>0</v>
      </c>
      <c r="P489" s="9">
        <v>1</v>
      </c>
      <c r="Q489" s="9">
        <v>0</v>
      </c>
      <c r="R489" s="9">
        <v>0</v>
      </c>
      <c r="S489" s="9">
        <v>0</v>
      </c>
      <c r="T489" s="9">
        <v>1</v>
      </c>
      <c r="U489" s="9">
        <v>1</v>
      </c>
      <c r="V489" s="9">
        <v>1</v>
      </c>
      <c r="W489" s="9">
        <v>0</v>
      </c>
      <c r="X489" s="1">
        <f t="shared" si="4"/>
        <v>8</v>
      </c>
    </row>
    <row r="490" spans="2:24" ht="13.2" x14ac:dyDescent="0.25">
      <c r="B490" s="109"/>
      <c r="C490" s="9">
        <v>2019</v>
      </c>
      <c r="D490" s="9">
        <v>1</v>
      </c>
      <c r="E490" s="9">
        <v>0</v>
      </c>
      <c r="F490" s="9">
        <v>1</v>
      </c>
      <c r="G490" s="9">
        <v>1</v>
      </c>
      <c r="H490" s="9">
        <v>0</v>
      </c>
      <c r="I490" s="9">
        <v>1</v>
      </c>
      <c r="J490" s="9">
        <v>1</v>
      </c>
      <c r="K490" s="9">
        <v>1</v>
      </c>
      <c r="L490" s="9">
        <v>0</v>
      </c>
      <c r="M490" s="9">
        <v>1</v>
      </c>
      <c r="N490" s="9">
        <v>1</v>
      </c>
      <c r="O490" s="9">
        <v>1</v>
      </c>
      <c r="P490" s="9">
        <v>0</v>
      </c>
      <c r="Q490" s="9">
        <v>1</v>
      </c>
      <c r="R490" s="9">
        <v>0</v>
      </c>
      <c r="S490" s="9">
        <v>1</v>
      </c>
      <c r="T490" s="9">
        <v>0</v>
      </c>
      <c r="U490" s="9">
        <v>0</v>
      </c>
      <c r="V490" s="9">
        <v>0</v>
      </c>
      <c r="W490" s="9">
        <v>1</v>
      </c>
      <c r="X490" s="1">
        <f t="shared" si="4"/>
        <v>12</v>
      </c>
    </row>
    <row r="491" spans="2:24" ht="13.2" x14ac:dyDescent="0.25">
      <c r="B491" s="109"/>
      <c r="C491" s="9">
        <v>2020</v>
      </c>
      <c r="D491" s="9">
        <v>1</v>
      </c>
      <c r="E491" s="9">
        <v>0</v>
      </c>
      <c r="F491" s="9">
        <v>1</v>
      </c>
      <c r="G491" s="9">
        <v>0</v>
      </c>
      <c r="H491" s="9">
        <v>0</v>
      </c>
      <c r="I491" s="9">
        <v>0</v>
      </c>
      <c r="J491" s="9">
        <v>0</v>
      </c>
      <c r="K491" s="9">
        <v>1</v>
      </c>
      <c r="L491" s="9">
        <v>0</v>
      </c>
      <c r="M491" s="9">
        <v>0</v>
      </c>
      <c r="N491" s="9">
        <v>0</v>
      </c>
      <c r="O491" s="9">
        <v>0</v>
      </c>
      <c r="P491" s="9">
        <v>0</v>
      </c>
      <c r="Q491" s="9">
        <v>1</v>
      </c>
      <c r="R491" s="9">
        <v>0</v>
      </c>
      <c r="S491" s="9">
        <v>1</v>
      </c>
      <c r="T491" s="9">
        <v>1</v>
      </c>
      <c r="U491" s="9">
        <v>0</v>
      </c>
      <c r="V491" s="9">
        <v>0</v>
      </c>
      <c r="W491" s="9">
        <v>1</v>
      </c>
      <c r="X491" s="1">
        <f t="shared" si="4"/>
        <v>7</v>
      </c>
    </row>
    <row r="492" spans="2:24" ht="13.2" x14ac:dyDescent="0.25">
      <c r="B492" s="109"/>
      <c r="C492" s="9">
        <v>2021</v>
      </c>
      <c r="D492" s="9">
        <v>1</v>
      </c>
      <c r="E492" s="9">
        <v>1</v>
      </c>
      <c r="F492" s="9">
        <v>1</v>
      </c>
      <c r="G492" s="9">
        <v>1</v>
      </c>
      <c r="H492" s="9">
        <v>1</v>
      </c>
      <c r="I492" s="9">
        <v>1</v>
      </c>
      <c r="J492" s="9">
        <v>0</v>
      </c>
      <c r="K492" s="9">
        <v>1</v>
      </c>
      <c r="L492" s="9">
        <v>1</v>
      </c>
      <c r="M492" s="9">
        <v>1</v>
      </c>
      <c r="N492" s="9">
        <v>0</v>
      </c>
      <c r="O492" s="9">
        <v>1</v>
      </c>
      <c r="P492" s="9">
        <v>1</v>
      </c>
      <c r="Q492" s="9">
        <v>1</v>
      </c>
      <c r="R492" s="9">
        <v>0</v>
      </c>
      <c r="S492" s="9">
        <v>0</v>
      </c>
      <c r="T492" s="9">
        <v>0</v>
      </c>
      <c r="U492" s="9">
        <v>1</v>
      </c>
      <c r="V492" s="9">
        <v>0</v>
      </c>
      <c r="W492" s="9">
        <v>1</v>
      </c>
      <c r="X492" s="1">
        <f t="shared" si="4"/>
        <v>14</v>
      </c>
    </row>
    <row r="493" spans="2:24" ht="13.2" x14ac:dyDescent="0.25">
      <c r="B493" s="113"/>
      <c r="C493" s="9">
        <v>2022</v>
      </c>
      <c r="D493" s="9">
        <v>1</v>
      </c>
      <c r="E493" s="9">
        <v>0</v>
      </c>
      <c r="F493" s="9">
        <v>1</v>
      </c>
      <c r="G493" s="9">
        <v>0</v>
      </c>
      <c r="H493" s="9">
        <v>0</v>
      </c>
      <c r="I493" s="9">
        <v>0</v>
      </c>
      <c r="J493" s="9">
        <v>0</v>
      </c>
      <c r="K493" s="9">
        <v>1</v>
      </c>
      <c r="L493" s="9">
        <v>1</v>
      </c>
      <c r="M493" s="9">
        <v>1</v>
      </c>
      <c r="N493" s="9">
        <v>0</v>
      </c>
      <c r="O493" s="9">
        <v>0</v>
      </c>
      <c r="P493" s="9">
        <v>0</v>
      </c>
      <c r="Q493" s="9">
        <v>1</v>
      </c>
      <c r="R493" s="9">
        <v>0</v>
      </c>
      <c r="S493" s="9">
        <v>0</v>
      </c>
      <c r="T493" s="9">
        <v>0</v>
      </c>
      <c r="U493" s="9">
        <v>1</v>
      </c>
      <c r="V493" s="9">
        <v>0</v>
      </c>
      <c r="W493" s="9">
        <v>1</v>
      </c>
      <c r="X493" s="1">
        <f t="shared" si="4"/>
        <v>8</v>
      </c>
    </row>
    <row r="494" spans="2:24" ht="13.2" x14ac:dyDescent="0.25">
      <c r="B494" s="112" t="s">
        <v>173</v>
      </c>
      <c r="C494" s="9">
        <v>2018</v>
      </c>
      <c r="D494" s="9">
        <v>1</v>
      </c>
      <c r="E494" s="9">
        <v>1</v>
      </c>
      <c r="F494" s="9">
        <v>0</v>
      </c>
      <c r="G494" s="9">
        <v>1</v>
      </c>
      <c r="H494" s="9">
        <v>0</v>
      </c>
      <c r="I494" s="9">
        <v>1</v>
      </c>
      <c r="J494" s="9">
        <v>1</v>
      </c>
      <c r="K494" s="9">
        <v>1</v>
      </c>
      <c r="L494" s="9">
        <v>1</v>
      </c>
      <c r="M494" s="9">
        <v>0</v>
      </c>
      <c r="N494" s="9">
        <v>0</v>
      </c>
      <c r="O494" s="9">
        <v>0</v>
      </c>
      <c r="P494" s="9">
        <v>0</v>
      </c>
      <c r="Q494" s="9">
        <v>1</v>
      </c>
      <c r="R494" s="9">
        <v>1</v>
      </c>
      <c r="S494" s="9">
        <v>0</v>
      </c>
      <c r="T494" s="9">
        <v>0</v>
      </c>
      <c r="U494" s="9">
        <v>1</v>
      </c>
      <c r="V494" s="9">
        <v>0</v>
      </c>
      <c r="W494" s="9">
        <v>1</v>
      </c>
      <c r="X494" s="1">
        <f t="shared" si="4"/>
        <v>11</v>
      </c>
    </row>
    <row r="495" spans="2:24" ht="13.2" x14ac:dyDescent="0.25">
      <c r="B495" s="109"/>
      <c r="C495" s="9">
        <v>2019</v>
      </c>
      <c r="D495" s="9">
        <v>0</v>
      </c>
      <c r="E495" s="9">
        <v>0</v>
      </c>
      <c r="F495" s="9">
        <v>1</v>
      </c>
      <c r="G495" s="9">
        <v>1</v>
      </c>
      <c r="H495" s="9">
        <v>1</v>
      </c>
      <c r="I495" s="9">
        <v>0</v>
      </c>
      <c r="J495" s="9">
        <v>1</v>
      </c>
      <c r="K495" s="9">
        <v>0</v>
      </c>
      <c r="L495" s="9">
        <v>1</v>
      </c>
      <c r="M495" s="9">
        <v>0</v>
      </c>
      <c r="N495" s="9">
        <v>0</v>
      </c>
      <c r="O495" s="9">
        <v>1</v>
      </c>
      <c r="P495" s="9">
        <v>0</v>
      </c>
      <c r="Q495" s="9">
        <v>1</v>
      </c>
      <c r="R495" s="9">
        <v>0</v>
      </c>
      <c r="S495" s="9">
        <v>0</v>
      </c>
      <c r="T495" s="9">
        <v>1</v>
      </c>
      <c r="U495" s="9">
        <v>0</v>
      </c>
      <c r="V495" s="9">
        <v>0</v>
      </c>
      <c r="W495" s="9">
        <v>1</v>
      </c>
      <c r="X495" s="1">
        <f t="shared" si="4"/>
        <v>9</v>
      </c>
    </row>
    <row r="496" spans="2:24" ht="13.2" x14ac:dyDescent="0.25">
      <c r="B496" s="109"/>
      <c r="C496" s="9">
        <v>2020</v>
      </c>
      <c r="D496" s="9">
        <v>0</v>
      </c>
      <c r="E496" s="9">
        <v>0</v>
      </c>
      <c r="F496" s="9">
        <v>0</v>
      </c>
      <c r="G496" s="9">
        <v>0</v>
      </c>
      <c r="H496" s="9">
        <v>0</v>
      </c>
      <c r="I496" s="9">
        <v>0</v>
      </c>
      <c r="J496" s="9">
        <v>0</v>
      </c>
      <c r="K496" s="9">
        <v>0</v>
      </c>
      <c r="L496" s="9">
        <v>0</v>
      </c>
      <c r="M496" s="9">
        <v>0</v>
      </c>
      <c r="N496" s="9">
        <v>1</v>
      </c>
      <c r="O496" s="9">
        <v>0</v>
      </c>
      <c r="P496" s="9">
        <v>0</v>
      </c>
      <c r="Q496" s="9">
        <v>0</v>
      </c>
      <c r="R496" s="9">
        <v>1</v>
      </c>
      <c r="S496" s="9">
        <v>1</v>
      </c>
      <c r="T496" s="9">
        <v>0</v>
      </c>
      <c r="U496" s="9">
        <v>1</v>
      </c>
      <c r="V496" s="9">
        <v>0</v>
      </c>
      <c r="W496" s="9">
        <v>0</v>
      </c>
      <c r="X496" s="1">
        <f t="shared" si="4"/>
        <v>4</v>
      </c>
    </row>
    <row r="497" spans="2:24" ht="13.2" x14ac:dyDescent="0.25">
      <c r="B497" s="109"/>
      <c r="C497" s="9">
        <v>2021</v>
      </c>
      <c r="D497" s="9">
        <v>0</v>
      </c>
      <c r="E497" s="9">
        <v>0</v>
      </c>
      <c r="F497" s="9">
        <v>0</v>
      </c>
      <c r="G497" s="9">
        <v>1</v>
      </c>
      <c r="H497" s="9">
        <v>0</v>
      </c>
      <c r="I497" s="9">
        <v>0</v>
      </c>
      <c r="J497" s="9">
        <v>0</v>
      </c>
      <c r="K497" s="9">
        <v>0</v>
      </c>
      <c r="L497" s="9">
        <v>0</v>
      </c>
      <c r="M497" s="9">
        <v>0</v>
      </c>
      <c r="N497" s="9">
        <v>0</v>
      </c>
      <c r="O497" s="9">
        <v>0</v>
      </c>
      <c r="P497" s="9">
        <v>1</v>
      </c>
      <c r="Q497" s="9">
        <v>1</v>
      </c>
      <c r="R497" s="9">
        <v>1</v>
      </c>
      <c r="S497" s="9">
        <v>1</v>
      </c>
      <c r="T497" s="9">
        <v>1</v>
      </c>
      <c r="U497" s="9">
        <v>1</v>
      </c>
      <c r="V497" s="9">
        <v>1</v>
      </c>
      <c r="W497" s="9">
        <v>1</v>
      </c>
      <c r="X497" s="1">
        <f t="shared" si="4"/>
        <v>9</v>
      </c>
    </row>
    <row r="498" spans="2:24" ht="13.2" x14ac:dyDescent="0.25">
      <c r="B498" s="113"/>
      <c r="C498" s="9">
        <v>2022</v>
      </c>
      <c r="D498" s="9">
        <v>0</v>
      </c>
      <c r="E498" s="9">
        <v>1</v>
      </c>
      <c r="F498" s="9">
        <v>0</v>
      </c>
      <c r="G498" s="9">
        <v>0</v>
      </c>
      <c r="H498" s="9">
        <v>1</v>
      </c>
      <c r="I498" s="9">
        <v>0</v>
      </c>
      <c r="J498" s="9">
        <v>1</v>
      </c>
      <c r="K498" s="9">
        <v>0</v>
      </c>
      <c r="L498" s="9">
        <v>0</v>
      </c>
      <c r="M498" s="9">
        <v>0</v>
      </c>
      <c r="N498" s="9">
        <v>1</v>
      </c>
      <c r="O498" s="9">
        <v>1</v>
      </c>
      <c r="P498" s="9">
        <v>1</v>
      </c>
      <c r="Q498" s="9">
        <v>1</v>
      </c>
      <c r="R498" s="9">
        <v>1</v>
      </c>
      <c r="S498" s="9">
        <v>1</v>
      </c>
      <c r="T498" s="9">
        <v>1</v>
      </c>
      <c r="U498" s="9">
        <v>1</v>
      </c>
      <c r="V498" s="9">
        <v>1</v>
      </c>
      <c r="W498" s="9">
        <v>0</v>
      </c>
      <c r="X498" s="1">
        <f t="shared" si="4"/>
        <v>12</v>
      </c>
    </row>
    <row r="499" spans="2:24" ht="13.2" x14ac:dyDescent="0.25">
      <c r="B499" s="112" t="s">
        <v>174</v>
      </c>
      <c r="C499" s="9">
        <v>2018</v>
      </c>
      <c r="D499" s="9">
        <v>0</v>
      </c>
      <c r="E499" s="9">
        <v>1</v>
      </c>
      <c r="F499" s="9">
        <v>1</v>
      </c>
      <c r="G499" s="9">
        <v>1</v>
      </c>
      <c r="H499" s="9">
        <v>1</v>
      </c>
      <c r="I499" s="9">
        <v>1</v>
      </c>
      <c r="J499" s="9">
        <v>1</v>
      </c>
      <c r="K499" s="9">
        <v>0</v>
      </c>
      <c r="L499" s="9">
        <v>1</v>
      </c>
      <c r="M499" s="9">
        <v>1</v>
      </c>
      <c r="N499" s="9">
        <v>1</v>
      </c>
      <c r="O499" s="9">
        <v>0</v>
      </c>
      <c r="P499" s="9">
        <v>1</v>
      </c>
      <c r="Q499" s="9">
        <v>0</v>
      </c>
      <c r="R499" s="9">
        <v>1</v>
      </c>
      <c r="S499" s="9">
        <v>1</v>
      </c>
      <c r="T499" s="9">
        <v>0</v>
      </c>
      <c r="U499" s="9">
        <v>1</v>
      </c>
      <c r="V499" s="9">
        <v>0</v>
      </c>
      <c r="W499" s="9">
        <v>0</v>
      </c>
      <c r="X499" s="1">
        <f t="shared" si="4"/>
        <v>13</v>
      </c>
    </row>
    <row r="500" spans="2:24" ht="13.2" x14ac:dyDescent="0.25">
      <c r="B500" s="109"/>
      <c r="C500" s="9">
        <v>2019</v>
      </c>
      <c r="D500" s="9">
        <v>0</v>
      </c>
      <c r="E500" s="9">
        <v>0</v>
      </c>
      <c r="F500" s="9">
        <v>0</v>
      </c>
      <c r="G500" s="9">
        <v>1</v>
      </c>
      <c r="H500" s="9">
        <v>0</v>
      </c>
      <c r="I500" s="9">
        <v>1</v>
      </c>
      <c r="J500" s="9">
        <v>1</v>
      </c>
      <c r="K500" s="9">
        <v>0</v>
      </c>
      <c r="L500" s="9">
        <v>1</v>
      </c>
      <c r="M500" s="9">
        <v>0</v>
      </c>
      <c r="N500" s="9">
        <v>1</v>
      </c>
      <c r="O500" s="9">
        <v>1</v>
      </c>
      <c r="P500" s="9">
        <v>0</v>
      </c>
      <c r="Q500" s="9">
        <v>1</v>
      </c>
      <c r="R500" s="9">
        <v>0</v>
      </c>
      <c r="S500" s="9">
        <v>0</v>
      </c>
      <c r="T500" s="9">
        <v>1</v>
      </c>
      <c r="U500" s="9">
        <v>1</v>
      </c>
      <c r="V500" s="9">
        <v>0</v>
      </c>
      <c r="W500" s="9">
        <v>0</v>
      </c>
      <c r="X500" s="1">
        <f t="shared" si="4"/>
        <v>9</v>
      </c>
    </row>
    <row r="501" spans="2:24" ht="13.2" x14ac:dyDescent="0.25">
      <c r="B501" s="109"/>
      <c r="C501" s="9">
        <v>2020</v>
      </c>
      <c r="D501" s="9">
        <v>1</v>
      </c>
      <c r="E501" s="9">
        <v>1</v>
      </c>
      <c r="F501" s="9">
        <v>1</v>
      </c>
      <c r="G501" s="9">
        <v>1</v>
      </c>
      <c r="H501" s="9">
        <v>0</v>
      </c>
      <c r="I501" s="9">
        <v>0</v>
      </c>
      <c r="J501" s="9">
        <v>0</v>
      </c>
      <c r="K501" s="9">
        <v>0</v>
      </c>
      <c r="L501" s="9">
        <v>0</v>
      </c>
      <c r="M501" s="9">
        <v>1</v>
      </c>
      <c r="N501" s="9">
        <v>0</v>
      </c>
      <c r="O501" s="9">
        <v>1</v>
      </c>
      <c r="P501" s="9">
        <v>1</v>
      </c>
      <c r="Q501" s="9">
        <v>0</v>
      </c>
      <c r="R501" s="9">
        <v>0</v>
      </c>
      <c r="S501" s="9">
        <v>1</v>
      </c>
      <c r="T501" s="9">
        <v>1</v>
      </c>
      <c r="U501" s="9">
        <v>0</v>
      </c>
      <c r="V501" s="9">
        <v>1</v>
      </c>
      <c r="W501" s="9">
        <v>0</v>
      </c>
      <c r="X501" s="1">
        <f t="shared" si="4"/>
        <v>10</v>
      </c>
    </row>
    <row r="502" spans="2:24" ht="13.2" x14ac:dyDescent="0.25">
      <c r="B502" s="109"/>
      <c r="C502" s="9">
        <v>2021</v>
      </c>
      <c r="D502" s="9">
        <v>0</v>
      </c>
      <c r="E502" s="9">
        <v>0</v>
      </c>
      <c r="F502" s="9">
        <v>1</v>
      </c>
      <c r="G502" s="9">
        <v>0</v>
      </c>
      <c r="H502" s="9">
        <v>1</v>
      </c>
      <c r="I502" s="9">
        <v>0</v>
      </c>
      <c r="J502" s="9">
        <v>1</v>
      </c>
      <c r="K502" s="9">
        <v>1</v>
      </c>
      <c r="L502" s="9">
        <v>1</v>
      </c>
      <c r="M502" s="9">
        <v>1</v>
      </c>
      <c r="N502" s="9">
        <v>1</v>
      </c>
      <c r="O502" s="9">
        <v>0</v>
      </c>
      <c r="P502" s="9">
        <v>0</v>
      </c>
      <c r="Q502" s="9">
        <v>1</v>
      </c>
      <c r="R502" s="9">
        <v>1</v>
      </c>
      <c r="S502" s="9">
        <v>1</v>
      </c>
      <c r="T502" s="9">
        <v>1</v>
      </c>
      <c r="U502" s="9">
        <v>1</v>
      </c>
      <c r="V502" s="9">
        <v>0</v>
      </c>
      <c r="W502" s="9">
        <v>1</v>
      </c>
      <c r="X502" s="1">
        <f t="shared" si="4"/>
        <v>13</v>
      </c>
    </row>
    <row r="503" spans="2:24" ht="13.2" x14ac:dyDescent="0.25">
      <c r="B503" s="113"/>
      <c r="C503" s="9">
        <v>2022</v>
      </c>
      <c r="D503" s="9">
        <v>1</v>
      </c>
      <c r="E503" s="9">
        <v>1</v>
      </c>
      <c r="F503" s="9">
        <v>1</v>
      </c>
      <c r="G503" s="9">
        <v>0</v>
      </c>
      <c r="H503" s="9">
        <v>0</v>
      </c>
      <c r="I503" s="9">
        <v>0</v>
      </c>
      <c r="J503" s="9">
        <v>0</v>
      </c>
      <c r="K503" s="9">
        <v>1</v>
      </c>
      <c r="L503" s="9">
        <v>0</v>
      </c>
      <c r="M503" s="9">
        <v>1</v>
      </c>
      <c r="N503" s="9">
        <v>1</v>
      </c>
      <c r="O503" s="9">
        <v>1</v>
      </c>
      <c r="P503" s="9">
        <v>1</v>
      </c>
      <c r="Q503" s="9">
        <v>0</v>
      </c>
      <c r="R503" s="9">
        <v>0</v>
      </c>
      <c r="S503" s="9">
        <v>0</v>
      </c>
      <c r="T503" s="9">
        <v>1</v>
      </c>
      <c r="U503" s="9">
        <v>0</v>
      </c>
      <c r="V503" s="9">
        <v>0</v>
      </c>
      <c r="W503" s="9">
        <v>1</v>
      </c>
      <c r="X503" s="1">
        <f t="shared" si="4"/>
        <v>10</v>
      </c>
    </row>
    <row r="504" spans="2:24" ht="13.2" x14ac:dyDescent="0.25">
      <c r="B504" s="112" t="s">
        <v>175</v>
      </c>
      <c r="C504" s="9">
        <v>2018</v>
      </c>
      <c r="D504" s="9">
        <v>0</v>
      </c>
      <c r="E504" s="9">
        <v>0</v>
      </c>
      <c r="F504" s="9">
        <v>1</v>
      </c>
      <c r="G504" s="9">
        <v>0</v>
      </c>
      <c r="H504" s="9">
        <v>1</v>
      </c>
      <c r="I504" s="9">
        <v>0</v>
      </c>
      <c r="J504" s="9">
        <v>1</v>
      </c>
      <c r="K504" s="9">
        <v>1</v>
      </c>
      <c r="L504" s="9">
        <v>0</v>
      </c>
      <c r="M504" s="9">
        <v>1</v>
      </c>
      <c r="N504" s="9">
        <v>0</v>
      </c>
      <c r="O504" s="9">
        <v>1</v>
      </c>
      <c r="P504" s="9">
        <v>1</v>
      </c>
      <c r="Q504" s="9">
        <v>0</v>
      </c>
      <c r="R504" s="9">
        <v>0</v>
      </c>
      <c r="S504" s="9">
        <v>1</v>
      </c>
      <c r="T504" s="9">
        <v>0</v>
      </c>
      <c r="U504" s="9">
        <v>1</v>
      </c>
      <c r="V504" s="9">
        <v>1</v>
      </c>
      <c r="W504" s="9">
        <v>1</v>
      </c>
      <c r="X504" s="1">
        <f t="shared" si="4"/>
        <v>11</v>
      </c>
    </row>
    <row r="505" spans="2:24" ht="13.2" x14ac:dyDescent="0.25">
      <c r="B505" s="109"/>
      <c r="C505" s="9">
        <v>2019</v>
      </c>
      <c r="D505" s="9">
        <v>0</v>
      </c>
      <c r="E505" s="9">
        <v>0</v>
      </c>
      <c r="F505" s="9">
        <v>1</v>
      </c>
      <c r="G505" s="9">
        <v>0</v>
      </c>
      <c r="H505" s="9">
        <v>0</v>
      </c>
      <c r="I505" s="9">
        <v>1</v>
      </c>
      <c r="J505" s="9">
        <v>0</v>
      </c>
      <c r="K505" s="9">
        <v>1</v>
      </c>
      <c r="L505" s="9">
        <v>0</v>
      </c>
      <c r="M505" s="9">
        <v>0</v>
      </c>
      <c r="N505" s="9">
        <v>0</v>
      </c>
      <c r="O505" s="9">
        <v>1</v>
      </c>
      <c r="P505" s="9">
        <v>1</v>
      </c>
      <c r="Q505" s="9">
        <v>1</v>
      </c>
      <c r="R505" s="9">
        <v>0</v>
      </c>
      <c r="S505" s="9">
        <v>1</v>
      </c>
      <c r="T505" s="9">
        <v>0</v>
      </c>
      <c r="U505" s="9">
        <v>0</v>
      </c>
      <c r="V505" s="9">
        <v>0</v>
      </c>
      <c r="W505" s="9">
        <v>1</v>
      </c>
      <c r="X505" s="1">
        <f t="shared" si="4"/>
        <v>8</v>
      </c>
    </row>
    <row r="506" spans="2:24" ht="13.2" x14ac:dyDescent="0.25">
      <c r="B506" s="109"/>
      <c r="C506" s="9">
        <v>2020</v>
      </c>
      <c r="D506" s="9">
        <v>1</v>
      </c>
      <c r="E506" s="9">
        <v>0</v>
      </c>
      <c r="F506" s="9">
        <v>1</v>
      </c>
      <c r="G506" s="9">
        <v>1</v>
      </c>
      <c r="H506" s="9">
        <v>0</v>
      </c>
      <c r="I506" s="9">
        <v>0</v>
      </c>
      <c r="J506" s="9">
        <v>0</v>
      </c>
      <c r="K506" s="9">
        <v>0</v>
      </c>
      <c r="L506" s="9">
        <v>1</v>
      </c>
      <c r="M506" s="9">
        <v>0</v>
      </c>
      <c r="N506" s="9">
        <v>1</v>
      </c>
      <c r="O506" s="9">
        <v>0</v>
      </c>
      <c r="P506" s="9">
        <v>1</v>
      </c>
      <c r="Q506" s="9">
        <v>0</v>
      </c>
      <c r="R506" s="9">
        <v>0</v>
      </c>
      <c r="S506" s="9">
        <v>1</v>
      </c>
      <c r="T506" s="9">
        <v>0</v>
      </c>
      <c r="U506" s="9">
        <v>1</v>
      </c>
      <c r="V506" s="9">
        <v>0</v>
      </c>
      <c r="W506" s="9">
        <v>0</v>
      </c>
      <c r="X506" s="1">
        <f t="shared" si="4"/>
        <v>8</v>
      </c>
    </row>
    <row r="507" spans="2:24" ht="13.2" x14ac:dyDescent="0.25">
      <c r="B507" s="109"/>
      <c r="C507" s="9">
        <v>2021</v>
      </c>
      <c r="D507" s="9">
        <v>0</v>
      </c>
      <c r="E507" s="9">
        <v>0</v>
      </c>
      <c r="F507" s="9">
        <v>0</v>
      </c>
      <c r="G507" s="9">
        <v>1</v>
      </c>
      <c r="H507" s="9">
        <v>1</v>
      </c>
      <c r="I507" s="9">
        <v>0</v>
      </c>
      <c r="J507" s="9">
        <v>1</v>
      </c>
      <c r="K507" s="9">
        <v>1</v>
      </c>
      <c r="L507" s="9">
        <v>0</v>
      </c>
      <c r="M507" s="9">
        <v>0</v>
      </c>
      <c r="N507" s="9">
        <v>0</v>
      </c>
      <c r="O507" s="9">
        <v>0</v>
      </c>
      <c r="P507" s="9">
        <v>1</v>
      </c>
      <c r="Q507" s="9">
        <v>1</v>
      </c>
      <c r="R507" s="9">
        <v>0</v>
      </c>
      <c r="S507" s="9">
        <v>0</v>
      </c>
      <c r="T507" s="9">
        <v>0</v>
      </c>
      <c r="U507" s="9">
        <v>0</v>
      </c>
      <c r="V507" s="9">
        <v>0</v>
      </c>
      <c r="W507" s="9">
        <v>1</v>
      </c>
      <c r="X507" s="1">
        <f t="shared" si="4"/>
        <v>7</v>
      </c>
    </row>
    <row r="508" spans="2:24" ht="13.2" x14ac:dyDescent="0.25">
      <c r="B508" s="113"/>
      <c r="C508" s="9">
        <v>2022</v>
      </c>
      <c r="D508" s="9">
        <v>0</v>
      </c>
      <c r="E508" s="9">
        <v>1</v>
      </c>
      <c r="F508" s="9">
        <v>1</v>
      </c>
      <c r="G508" s="9">
        <v>1</v>
      </c>
      <c r="H508" s="9">
        <v>1</v>
      </c>
      <c r="I508" s="9">
        <v>0</v>
      </c>
      <c r="J508" s="9">
        <v>1</v>
      </c>
      <c r="K508" s="9">
        <v>1</v>
      </c>
      <c r="L508" s="9">
        <v>1</v>
      </c>
      <c r="M508" s="9">
        <v>0</v>
      </c>
      <c r="N508" s="9">
        <v>0</v>
      </c>
      <c r="O508" s="9">
        <v>0</v>
      </c>
      <c r="P508" s="9">
        <v>1</v>
      </c>
      <c r="Q508" s="9">
        <v>1</v>
      </c>
      <c r="R508" s="9">
        <v>1</v>
      </c>
      <c r="S508" s="9">
        <v>0</v>
      </c>
      <c r="T508" s="9">
        <v>1</v>
      </c>
      <c r="U508" s="9">
        <v>0</v>
      </c>
      <c r="V508" s="9">
        <v>1</v>
      </c>
      <c r="W508" s="9">
        <v>1</v>
      </c>
      <c r="X508" s="1">
        <f t="shared" si="4"/>
        <v>13</v>
      </c>
    </row>
    <row r="509" spans="2:24" ht="13.2" x14ac:dyDescent="0.25">
      <c r="B509" s="112" t="s">
        <v>176</v>
      </c>
      <c r="C509" s="9">
        <v>2018</v>
      </c>
      <c r="D509" s="9">
        <v>1</v>
      </c>
      <c r="E509" s="9">
        <v>1</v>
      </c>
      <c r="F509" s="9">
        <v>0</v>
      </c>
      <c r="G509" s="9">
        <v>0</v>
      </c>
      <c r="H509" s="9">
        <v>0</v>
      </c>
      <c r="I509" s="9">
        <v>0</v>
      </c>
      <c r="J509" s="9">
        <v>0</v>
      </c>
      <c r="K509" s="9">
        <v>1</v>
      </c>
      <c r="L509" s="9">
        <v>1</v>
      </c>
      <c r="M509" s="9">
        <v>0</v>
      </c>
      <c r="N509" s="9">
        <v>1</v>
      </c>
      <c r="O509" s="9">
        <v>0</v>
      </c>
      <c r="P509" s="9">
        <v>0</v>
      </c>
      <c r="Q509" s="9">
        <v>1</v>
      </c>
      <c r="R509" s="9">
        <v>0</v>
      </c>
      <c r="S509" s="9">
        <v>1</v>
      </c>
      <c r="T509" s="9">
        <v>0</v>
      </c>
      <c r="U509" s="9">
        <v>0</v>
      </c>
      <c r="V509" s="9">
        <v>0</v>
      </c>
      <c r="W509" s="9">
        <v>0</v>
      </c>
      <c r="X509" s="1">
        <f t="shared" si="4"/>
        <v>7</v>
      </c>
    </row>
    <row r="510" spans="2:24" ht="13.2" x14ac:dyDescent="0.25">
      <c r="B510" s="109"/>
      <c r="C510" s="9">
        <v>2019</v>
      </c>
      <c r="D510" s="9">
        <v>0</v>
      </c>
      <c r="E510" s="9">
        <v>0</v>
      </c>
      <c r="F510" s="9">
        <v>0</v>
      </c>
      <c r="G510" s="9">
        <v>1</v>
      </c>
      <c r="H510" s="9">
        <v>0</v>
      </c>
      <c r="I510" s="9">
        <v>1</v>
      </c>
      <c r="J510" s="9">
        <v>0</v>
      </c>
      <c r="K510" s="9">
        <v>1</v>
      </c>
      <c r="L510" s="9">
        <v>0</v>
      </c>
      <c r="M510" s="9">
        <v>0</v>
      </c>
      <c r="N510" s="9">
        <v>0</v>
      </c>
      <c r="O510" s="9">
        <v>0</v>
      </c>
      <c r="P510" s="9">
        <v>1</v>
      </c>
      <c r="Q510" s="9">
        <v>1</v>
      </c>
      <c r="R510" s="9">
        <v>0</v>
      </c>
      <c r="S510" s="9">
        <v>0</v>
      </c>
      <c r="T510" s="9">
        <v>1</v>
      </c>
      <c r="U510" s="9">
        <v>0</v>
      </c>
      <c r="V510" s="9">
        <v>1</v>
      </c>
      <c r="W510" s="9">
        <v>0</v>
      </c>
      <c r="X510" s="1">
        <f t="shared" si="4"/>
        <v>7</v>
      </c>
    </row>
    <row r="511" spans="2:24" ht="13.2" x14ac:dyDescent="0.25">
      <c r="B511" s="109"/>
      <c r="C511" s="9">
        <v>2020</v>
      </c>
      <c r="D511" s="9">
        <v>1</v>
      </c>
      <c r="E511" s="9">
        <v>0</v>
      </c>
      <c r="F511" s="9">
        <v>1</v>
      </c>
      <c r="G511" s="9">
        <v>1</v>
      </c>
      <c r="H511" s="9">
        <v>0</v>
      </c>
      <c r="I511" s="9">
        <v>1</v>
      </c>
      <c r="J511" s="9">
        <v>1</v>
      </c>
      <c r="K511" s="9">
        <v>1</v>
      </c>
      <c r="L511" s="9">
        <v>0</v>
      </c>
      <c r="M511" s="9">
        <v>0</v>
      </c>
      <c r="N511" s="9">
        <v>1</v>
      </c>
      <c r="O511" s="9">
        <v>0</v>
      </c>
      <c r="P511" s="9">
        <v>1</v>
      </c>
      <c r="Q511" s="9">
        <v>1</v>
      </c>
      <c r="R511" s="9">
        <v>0</v>
      </c>
      <c r="S511" s="9">
        <v>1</v>
      </c>
      <c r="T511" s="9">
        <v>1</v>
      </c>
      <c r="U511" s="9">
        <v>0</v>
      </c>
      <c r="V511" s="9">
        <v>1</v>
      </c>
      <c r="W511" s="9">
        <v>1</v>
      </c>
      <c r="X511" s="1">
        <f t="shared" si="4"/>
        <v>13</v>
      </c>
    </row>
    <row r="512" spans="2:24" ht="13.2" x14ac:dyDescent="0.25">
      <c r="B512" s="109"/>
      <c r="C512" s="9">
        <v>2021</v>
      </c>
      <c r="D512" s="9">
        <v>1</v>
      </c>
      <c r="E512" s="9">
        <v>1</v>
      </c>
      <c r="F512" s="9">
        <v>1</v>
      </c>
      <c r="G512" s="9">
        <v>1</v>
      </c>
      <c r="H512" s="9">
        <v>0</v>
      </c>
      <c r="I512" s="9">
        <v>1</v>
      </c>
      <c r="J512" s="9">
        <v>0</v>
      </c>
      <c r="K512" s="9">
        <v>0</v>
      </c>
      <c r="L512" s="9">
        <v>1</v>
      </c>
      <c r="M512" s="9">
        <v>0</v>
      </c>
      <c r="N512" s="9">
        <v>1</v>
      </c>
      <c r="O512" s="9">
        <v>1</v>
      </c>
      <c r="P512" s="9">
        <v>1</v>
      </c>
      <c r="Q512" s="9">
        <v>1</v>
      </c>
      <c r="R512" s="9">
        <v>1</v>
      </c>
      <c r="S512" s="9">
        <v>1</v>
      </c>
      <c r="T512" s="9">
        <v>1</v>
      </c>
      <c r="U512" s="9">
        <v>1</v>
      </c>
      <c r="V512" s="9">
        <v>0</v>
      </c>
      <c r="W512" s="9">
        <v>0</v>
      </c>
      <c r="X512" s="1">
        <f t="shared" si="4"/>
        <v>14</v>
      </c>
    </row>
    <row r="513" spans="2:24" ht="13.2" x14ac:dyDescent="0.25">
      <c r="B513" s="113"/>
      <c r="C513" s="9">
        <v>2022</v>
      </c>
      <c r="D513" s="9">
        <v>1</v>
      </c>
      <c r="E513" s="9">
        <v>1</v>
      </c>
      <c r="F513" s="9">
        <v>1</v>
      </c>
      <c r="G513" s="9">
        <v>0</v>
      </c>
      <c r="H513" s="9">
        <v>0</v>
      </c>
      <c r="I513" s="9">
        <v>0</v>
      </c>
      <c r="J513" s="9">
        <v>0</v>
      </c>
      <c r="K513" s="9">
        <v>0</v>
      </c>
      <c r="L513" s="9">
        <v>0</v>
      </c>
      <c r="M513" s="9">
        <v>1</v>
      </c>
      <c r="N513" s="9">
        <v>1</v>
      </c>
      <c r="O513" s="9">
        <v>1</v>
      </c>
      <c r="P513" s="9">
        <v>0</v>
      </c>
      <c r="Q513" s="9">
        <v>0</v>
      </c>
      <c r="R513" s="9">
        <v>0</v>
      </c>
      <c r="S513" s="9">
        <v>0</v>
      </c>
      <c r="T513" s="9">
        <v>1</v>
      </c>
      <c r="U513" s="9">
        <v>1</v>
      </c>
      <c r="V513" s="9">
        <v>0</v>
      </c>
      <c r="W513" s="9">
        <v>0</v>
      </c>
      <c r="X513" s="1">
        <f t="shared" si="4"/>
        <v>8</v>
      </c>
    </row>
    <row r="514" spans="2:24" ht="13.2" x14ac:dyDescent="0.25">
      <c r="B514" s="112" t="s">
        <v>177</v>
      </c>
      <c r="C514" s="9">
        <v>2018</v>
      </c>
      <c r="D514" s="9">
        <v>1</v>
      </c>
      <c r="E514" s="9">
        <v>0</v>
      </c>
      <c r="F514" s="9">
        <v>1</v>
      </c>
      <c r="G514" s="9">
        <v>1</v>
      </c>
      <c r="H514" s="9">
        <v>1</v>
      </c>
      <c r="I514" s="9">
        <v>1</v>
      </c>
      <c r="J514" s="9">
        <v>0</v>
      </c>
      <c r="K514" s="9">
        <v>1</v>
      </c>
      <c r="L514" s="9">
        <v>1</v>
      </c>
      <c r="M514" s="9">
        <v>1</v>
      </c>
      <c r="N514" s="9">
        <v>1</v>
      </c>
      <c r="O514" s="9">
        <v>1</v>
      </c>
      <c r="P514" s="9">
        <v>0</v>
      </c>
      <c r="Q514" s="9">
        <v>1</v>
      </c>
      <c r="R514" s="9">
        <v>0</v>
      </c>
      <c r="S514" s="9">
        <v>0</v>
      </c>
      <c r="T514" s="9">
        <v>0</v>
      </c>
      <c r="U514" s="9">
        <v>1</v>
      </c>
      <c r="V514" s="9">
        <v>0</v>
      </c>
      <c r="W514" s="9">
        <v>0</v>
      </c>
      <c r="X514" s="1">
        <f t="shared" si="4"/>
        <v>12</v>
      </c>
    </row>
    <row r="515" spans="2:24" ht="13.2" x14ac:dyDescent="0.25">
      <c r="B515" s="109"/>
      <c r="C515" s="9">
        <v>2019</v>
      </c>
      <c r="D515" s="9">
        <v>1</v>
      </c>
      <c r="E515" s="9">
        <v>1</v>
      </c>
      <c r="F515" s="9">
        <v>0</v>
      </c>
      <c r="G515" s="9">
        <v>1</v>
      </c>
      <c r="H515" s="9">
        <v>1</v>
      </c>
      <c r="I515" s="9">
        <v>0</v>
      </c>
      <c r="J515" s="9">
        <v>1</v>
      </c>
      <c r="K515" s="9">
        <v>0</v>
      </c>
      <c r="L515" s="9">
        <v>0</v>
      </c>
      <c r="M515" s="9">
        <v>1</v>
      </c>
      <c r="N515" s="9">
        <v>1</v>
      </c>
      <c r="O515" s="9">
        <v>0</v>
      </c>
      <c r="P515" s="9">
        <v>0</v>
      </c>
      <c r="Q515" s="9">
        <v>1</v>
      </c>
      <c r="R515" s="9">
        <v>0</v>
      </c>
      <c r="S515" s="9">
        <v>0</v>
      </c>
      <c r="T515" s="9">
        <v>1</v>
      </c>
      <c r="U515" s="9">
        <v>1</v>
      </c>
      <c r="V515" s="9">
        <v>0</v>
      </c>
      <c r="W515" s="9">
        <v>0</v>
      </c>
      <c r="X515" s="1">
        <f t="shared" si="4"/>
        <v>10</v>
      </c>
    </row>
    <row r="516" spans="2:24" ht="13.2" x14ac:dyDescent="0.25">
      <c r="B516" s="109"/>
      <c r="C516" s="9">
        <v>2020</v>
      </c>
      <c r="D516" s="9">
        <v>1</v>
      </c>
      <c r="E516" s="9">
        <v>1</v>
      </c>
      <c r="F516" s="9">
        <v>1</v>
      </c>
      <c r="G516" s="9">
        <v>0</v>
      </c>
      <c r="H516" s="9">
        <v>0</v>
      </c>
      <c r="I516" s="9">
        <v>1</v>
      </c>
      <c r="J516" s="9">
        <v>0</v>
      </c>
      <c r="K516" s="9">
        <v>1</v>
      </c>
      <c r="L516" s="9">
        <v>1</v>
      </c>
      <c r="M516" s="9">
        <v>0</v>
      </c>
      <c r="N516" s="9">
        <v>1</v>
      </c>
      <c r="O516" s="9">
        <v>0</v>
      </c>
      <c r="P516" s="9">
        <v>1</v>
      </c>
      <c r="Q516" s="9">
        <v>0</v>
      </c>
      <c r="R516" s="9">
        <v>1</v>
      </c>
      <c r="S516" s="9">
        <v>0</v>
      </c>
      <c r="T516" s="9">
        <v>0</v>
      </c>
      <c r="U516" s="9">
        <v>1</v>
      </c>
      <c r="V516" s="9">
        <v>1</v>
      </c>
      <c r="W516" s="9">
        <v>0</v>
      </c>
      <c r="X516" s="1">
        <f t="shared" si="4"/>
        <v>11</v>
      </c>
    </row>
    <row r="517" spans="2:24" ht="13.2" x14ac:dyDescent="0.25">
      <c r="B517" s="109"/>
      <c r="C517" s="9">
        <v>2021</v>
      </c>
      <c r="D517" s="9">
        <v>1</v>
      </c>
      <c r="E517" s="9">
        <v>1</v>
      </c>
      <c r="F517" s="9">
        <v>1</v>
      </c>
      <c r="G517" s="9">
        <v>1</v>
      </c>
      <c r="H517" s="9">
        <v>1</v>
      </c>
      <c r="I517" s="9">
        <v>1</v>
      </c>
      <c r="J517" s="9">
        <v>1</v>
      </c>
      <c r="K517" s="9">
        <v>0</v>
      </c>
      <c r="L517" s="9">
        <v>0</v>
      </c>
      <c r="M517" s="9">
        <v>1</v>
      </c>
      <c r="N517" s="9">
        <v>1</v>
      </c>
      <c r="O517" s="9">
        <v>1</v>
      </c>
      <c r="P517" s="9">
        <v>0</v>
      </c>
      <c r="Q517" s="9">
        <v>0</v>
      </c>
      <c r="R517" s="9">
        <v>0</v>
      </c>
      <c r="S517" s="9">
        <v>1</v>
      </c>
      <c r="T517" s="9">
        <v>0</v>
      </c>
      <c r="U517" s="9">
        <v>0</v>
      </c>
      <c r="V517" s="9">
        <v>1</v>
      </c>
      <c r="W517" s="9">
        <v>0</v>
      </c>
      <c r="X517" s="1">
        <f t="shared" si="4"/>
        <v>12</v>
      </c>
    </row>
    <row r="518" spans="2:24" ht="13.2" x14ac:dyDescent="0.25">
      <c r="B518" s="113"/>
      <c r="C518" s="9">
        <v>2022</v>
      </c>
      <c r="D518" s="9">
        <v>1</v>
      </c>
      <c r="E518" s="9">
        <v>1</v>
      </c>
      <c r="F518" s="9">
        <v>0</v>
      </c>
      <c r="G518" s="9">
        <v>0</v>
      </c>
      <c r="H518" s="9">
        <v>0</v>
      </c>
      <c r="I518" s="9">
        <v>1</v>
      </c>
      <c r="J518" s="9">
        <v>1</v>
      </c>
      <c r="K518" s="9">
        <v>0</v>
      </c>
      <c r="L518" s="9">
        <v>1</v>
      </c>
      <c r="M518" s="9">
        <v>0</v>
      </c>
      <c r="N518" s="9">
        <v>0</v>
      </c>
      <c r="O518" s="9">
        <v>0</v>
      </c>
      <c r="P518" s="9">
        <v>0</v>
      </c>
      <c r="Q518" s="9">
        <v>1</v>
      </c>
      <c r="R518" s="9">
        <v>1</v>
      </c>
      <c r="S518" s="9">
        <v>0</v>
      </c>
      <c r="T518" s="9">
        <v>0</v>
      </c>
      <c r="U518" s="9">
        <v>0</v>
      </c>
      <c r="V518" s="9">
        <v>1</v>
      </c>
      <c r="W518" s="9">
        <v>1</v>
      </c>
      <c r="X518" s="1">
        <f t="shared" si="4"/>
        <v>9</v>
      </c>
    </row>
    <row r="519" spans="2:24" ht="13.2" x14ac:dyDescent="0.25">
      <c r="B519" s="112" t="s">
        <v>178</v>
      </c>
      <c r="C519" s="9">
        <v>2018</v>
      </c>
      <c r="D519" s="9">
        <v>1</v>
      </c>
      <c r="E519" s="9">
        <v>0</v>
      </c>
      <c r="F519" s="9">
        <v>0</v>
      </c>
      <c r="G519" s="9">
        <v>0</v>
      </c>
      <c r="H519" s="9">
        <v>0</v>
      </c>
      <c r="I519" s="9">
        <v>0</v>
      </c>
      <c r="J519" s="9">
        <v>0</v>
      </c>
      <c r="K519" s="9">
        <v>1</v>
      </c>
      <c r="L519" s="9">
        <v>0</v>
      </c>
      <c r="M519" s="9">
        <v>0</v>
      </c>
      <c r="N519" s="9">
        <v>1</v>
      </c>
      <c r="O519" s="9">
        <v>1</v>
      </c>
      <c r="P519" s="9">
        <v>1</v>
      </c>
      <c r="Q519" s="9">
        <v>0</v>
      </c>
      <c r="R519" s="9">
        <v>1</v>
      </c>
      <c r="S519" s="9">
        <v>0</v>
      </c>
      <c r="T519" s="9">
        <v>1</v>
      </c>
      <c r="U519" s="9">
        <v>0</v>
      </c>
      <c r="V519" s="9">
        <v>1</v>
      </c>
      <c r="W519" s="9">
        <v>0</v>
      </c>
      <c r="X519" s="1">
        <f t="shared" si="4"/>
        <v>8</v>
      </c>
    </row>
    <row r="520" spans="2:24" ht="13.2" x14ac:dyDescent="0.25">
      <c r="B520" s="109"/>
      <c r="C520" s="9">
        <v>2019</v>
      </c>
      <c r="D520" s="9">
        <v>1</v>
      </c>
      <c r="E520" s="9">
        <v>1</v>
      </c>
      <c r="F520" s="9">
        <v>1</v>
      </c>
      <c r="G520" s="9">
        <v>1</v>
      </c>
      <c r="H520" s="9">
        <v>1</v>
      </c>
      <c r="I520" s="9">
        <v>0</v>
      </c>
      <c r="J520" s="9">
        <v>0</v>
      </c>
      <c r="K520" s="9">
        <v>0</v>
      </c>
      <c r="L520" s="9">
        <v>0</v>
      </c>
      <c r="M520" s="9">
        <v>0</v>
      </c>
      <c r="N520" s="9">
        <v>0</v>
      </c>
      <c r="O520" s="9">
        <v>0</v>
      </c>
      <c r="P520" s="9">
        <v>0</v>
      </c>
      <c r="Q520" s="9">
        <v>0</v>
      </c>
      <c r="R520" s="9">
        <v>0</v>
      </c>
      <c r="S520" s="9">
        <v>0</v>
      </c>
      <c r="T520" s="9">
        <v>0</v>
      </c>
      <c r="U520" s="9">
        <v>0</v>
      </c>
      <c r="V520" s="9">
        <v>0</v>
      </c>
      <c r="W520" s="9">
        <v>0</v>
      </c>
      <c r="X520" s="1">
        <f t="shared" si="4"/>
        <v>5</v>
      </c>
    </row>
    <row r="521" spans="2:24" ht="13.2" x14ac:dyDescent="0.25">
      <c r="B521" s="109"/>
      <c r="C521" s="9">
        <v>2020</v>
      </c>
      <c r="D521" s="9">
        <v>0</v>
      </c>
      <c r="E521" s="9">
        <v>0</v>
      </c>
      <c r="F521" s="9">
        <v>0</v>
      </c>
      <c r="G521" s="9">
        <v>1</v>
      </c>
      <c r="H521" s="9">
        <v>0</v>
      </c>
      <c r="I521" s="9">
        <v>1</v>
      </c>
      <c r="J521" s="9">
        <v>1</v>
      </c>
      <c r="K521" s="9">
        <v>0</v>
      </c>
      <c r="L521" s="9">
        <v>1</v>
      </c>
      <c r="M521" s="9">
        <v>0</v>
      </c>
      <c r="N521" s="9">
        <v>0</v>
      </c>
      <c r="O521" s="9">
        <v>0</v>
      </c>
      <c r="P521" s="9">
        <v>1</v>
      </c>
      <c r="Q521" s="9">
        <v>0</v>
      </c>
      <c r="R521" s="9">
        <v>0</v>
      </c>
      <c r="S521" s="9">
        <v>0</v>
      </c>
      <c r="T521" s="9">
        <v>1</v>
      </c>
      <c r="U521" s="9">
        <v>0</v>
      </c>
      <c r="V521" s="9">
        <v>0</v>
      </c>
      <c r="W521" s="9">
        <v>0</v>
      </c>
      <c r="X521" s="1">
        <f t="shared" si="4"/>
        <v>6</v>
      </c>
    </row>
    <row r="522" spans="2:24" ht="13.2" x14ac:dyDescent="0.25">
      <c r="B522" s="109"/>
      <c r="C522" s="9">
        <v>2021</v>
      </c>
      <c r="D522" s="9">
        <v>0</v>
      </c>
      <c r="E522" s="9">
        <v>1</v>
      </c>
      <c r="F522" s="9">
        <v>1</v>
      </c>
      <c r="G522" s="9">
        <v>1</v>
      </c>
      <c r="H522" s="9">
        <v>1</v>
      </c>
      <c r="I522" s="9">
        <v>1</v>
      </c>
      <c r="J522" s="9">
        <v>1</v>
      </c>
      <c r="K522" s="9">
        <v>1</v>
      </c>
      <c r="L522" s="9">
        <v>1</v>
      </c>
      <c r="M522" s="9">
        <v>0</v>
      </c>
      <c r="N522" s="9">
        <v>1</v>
      </c>
      <c r="O522" s="9">
        <v>1</v>
      </c>
      <c r="P522" s="9">
        <v>1</v>
      </c>
      <c r="Q522" s="9">
        <v>1</v>
      </c>
      <c r="R522" s="9">
        <v>1</v>
      </c>
      <c r="S522" s="9">
        <v>1</v>
      </c>
      <c r="T522" s="9">
        <v>1</v>
      </c>
      <c r="U522" s="9">
        <v>0</v>
      </c>
      <c r="V522" s="9">
        <v>0</v>
      </c>
      <c r="W522" s="9">
        <v>1</v>
      </c>
      <c r="X522" s="1">
        <f t="shared" si="4"/>
        <v>16</v>
      </c>
    </row>
    <row r="523" spans="2:24" ht="13.2" x14ac:dyDescent="0.25">
      <c r="B523" s="113"/>
      <c r="C523" s="9">
        <v>2022</v>
      </c>
      <c r="D523" s="9">
        <v>0</v>
      </c>
      <c r="E523" s="9">
        <v>1</v>
      </c>
      <c r="F523" s="9">
        <v>1</v>
      </c>
      <c r="G523" s="9">
        <v>0</v>
      </c>
      <c r="H523" s="9">
        <v>0</v>
      </c>
      <c r="I523" s="9">
        <v>1</v>
      </c>
      <c r="J523" s="9">
        <v>1</v>
      </c>
      <c r="K523" s="9">
        <v>1</v>
      </c>
      <c r="L523" s="9">
        <v>0</v>
      </c>
      <c r="M523" s="9">
        <v>1</v>
      </c>
      <c r="N523" s="9">
        <v>1</v>
      </c>
      <c r="O523" s="9">
        <v>0</v>
      </c>
      <c r="P523" s="9">
        <v>1</v>
      </c>
      <c r="Q523" s="9">
        <v>0</v>
      </c>
      <c r="R523" s="9">
        <v>1</v>
      </c>
      <c r="S523" s="9">
        <v>0</v>
      </c>
      <c r="T523" s="9">
        <v>1</v>
      </c>
      <c r="U523" s="9">
        <v>1</v>
      </c>
      <c r="V523" s="9">
        <v>1</v>
      </c>
      <c r="W523" s="9">
        <v>1</v>
      </c>
      <c r="X523" s="1">
        <f t="shared" si="4"/>
        <v>13</v>
      </c>
    </row>
    <row r="524" spans="2:24" ht="13.2" x14ac:dyDescent="0.25">
      <c r="B524" s="112" t="s">
        <v>179</v>
      </c>
      <c r="C524" s="9">
        <v>2018</v>
      </c>
      <c r="D524" s="9">
        <v>0</v>
      </c>
      <c r="E524" s="9">
        <v>1</v>
      </c>
      <c r="F524" s="9">
        <v>1</v>
      </c>
      <c r="G524" s="9">
        <v>0</v>
      </c>
      <c r="H524" s="9">
        <v>1</v>
      </c>
      <c r="I524" s="9">
        <v>0</v>
      </c>
      <c r="J524" s="9">
        <v>0</v>
      </c>
      <c r="K524" s="9">
        <v>0</v>
      </c>
      <c r="L524" s="9">
        <v>0</v>
      </c>
      <c r="M524" s="9">
        <v>1</v>
      </c>
      <c r="N524" s="9">
        <v>1</v>
      </c>
      <c r="O524" s="9">
        <v>1</v>
      </c>
      <c r="P524" s="9">
        <v>1</v>
      </c>
      <c r="Q524" s="9">
        <v>1</v>
      </c>
      <c r="R524" s="9">
        <v>1</v>
      </c>
      <c r="S524" s="9">
        <v>1</v>
      </c>
      <c r="T524" s="9">
        <v>1</v>
      </c>
      <c r="U524" s="9">
        <v>0</v>
      </c>
      <c r="V524" s="9">
        <v>0</v>
      </c>
      <c r="W524" s="9">
        <v>0</v>
      </c>
      <c r="X524" s="1">
        <f t="shared" si="4"/>
        <v>11</v>
      </c>
    </row>
    <row r="525" spans="2:24" ht="13.2" x14ac:dyDescent="0.25">
      <c r="B525" s="109"/>
      <c r="C525" s="9">
        <v>2019</v>
      </c>
      <c r="D525" s="9">
        <v>0</v>
      </c>
      <c r="E525" s="9">
        <v>1</v>
      </c>
      <c r="F525" s="9">
        <v>1</v>
      </c>
      <c r="G525" s="9">
        <v>1</v>
      </c>
      <c r="H525" s="9">
        <v>1</v>
      </c>
      <c r="I525" s="9">
        <v>1</v>
      </c>
      <c r="J525" s="9">
        <v>0</v>
      </c>
      <c r="K525" s="9">
        <v>1</v>
      </c>
      <c r="L525" s="9">
        <v>1</v>
      </c>
      <c r="M525" s="9">
        <v>1</v>
      </c>
      <c r="N525" s="9">
        <v>0</v>
      </c>
      <c r="O525" s="9">
        <v>1</v>
      </c>
      <c r="P525" s="9">
        <v>0</v>
      </c>
      <c r="Q525" s="9">
        <v>0</v>
      </c>
      <c r="R525" s="9">
        <v>0</v>
      </c>
      <c r="S525" s="9">
        <v>0</v>
      </c>
      <c r="T525" s="9">
        <v>1</v>
      </c>
      <c r="U525" s="9">
        <v>1</v>
      </c>
      <c r="V525" s="9">
        <v>1</v>
      </c>
      <c r="W525" s="9">
        <v>0</v>
      </c>
      <c r="X525" s="1">
        <f t="shared" si="4"/>
        <v>12</v>
      </c>
    </row>
    <row r="526" spans="2:24" ht="13.2" x14ac:dyDescent="0.25">
      <c r="B526" s="109"/>
      <c r="C526" s="9">
        <v>2020</v>
      </c>
      <c r="D526" s="9">
        <v>1</v>
      </c>
      <c r="E526" s="9">
        <v>1</v>
      </c>
      <c r="F526" s="9">
        <v>1</v>
      </c>
      <c r="G526" s="9">
        <v>0</v>
      </c>
      <c r="H526" s="9">
        <v>1</v>
      </c>
      <c r="I526" s="9">
        <v>0</v>
      </c>
      <c r="J526" s="9">
        <v>0</v>
      </c>
      <c r="K526" s="9">
        <v>1</v>
      </c>
      <c r="L526" s="9">
        <v>1</v>
      </c>
      <c r="M526" s="9">
        <v>0</v>
      </c>
      <c r="N526" s="9">
        <v>1</v>
      </c>
      <c r="O526" s="9">
        <v>1</v>
      </c>
      <c r="P526" s="9">
        <v>0</v>
      </c>
      <c r="Q526" s="9">
        <v>1</v>
      </c>
      <c r="R526" s="9">
        <v>1</v>
      </c>
      <c r="S526" s="9">
        <v>1</v>
      </c>
      <c r="T526" s="9">
        <v>0</v>
      </c>
      <c r="U526" s="9">
        <v>0</v>
      </c>
      <c r="V526" s="9">
        <v>1</v>
      </c>
      <c r="W526" s="9">
        <v>0</v>
      </c>
      <c r="X526" s="1">
        <f t="shared" si="4"/>
        <v>12</v>
      </c>
    </row>
    <row r="527" spans="2:24" ht="13.2" x14ac:dyDescent="0.25">
      <c r="B527" s="109"/>
      <c r="C527" s="9">
        <v>2021</v>
      </c>
      <c r="D527" s="9">
        <v>1</v>
      </c>
      <c r="E527" s="9">
        <v>1</v>
      </c>
      <c r="F527" s="9">
        <v>0</v>
      </c>
      <c r="G527" s="9">
        <v>0</v>
      </c>
      <c r="H527" s="9">
        <v>0</v>
      </c>
      <c r="I527" s="9">
        <v>1</v>
      </c>
      <c r="J527" s="9">
        <v>1</v>
      </c>
      <c r="K527" s="9">
        <v>1</v>
      </c>
      <c r="L527" s="9">
        <v>1</v>
      </c>
      <c r="M527" s="9">
        <v>1</v>
      </c>
      <c r="N527" s="9">
        <v>1</v>
      </c>
      <c r="O527" s="9">
        <v>1</v>
      </c>
      <c r="P527" s="9">
        <v>0</v>
      </c>
      <c r="Q527" s="9">
        <v>1</v>
      </c>
      <c r="R527" s="9">
        <v>0</v>
      </c>
      <c r="S527" s="9">
        <v>1</v>
      </c>
      <c r="T527" s="9">
        <v>0</v>
      </c>
      <c r="U527" s="9">
        <v>0</v>
      </c>
      <c r="V527" s="9">
        <v>0</v>
      </c>
      <c r="W527" s="9">
        <v>0</v>
      </c>
      <c r="X527" s="1">
        <f t="shared" si="4"/>
        <v>11</v>
      </c>
    </row>
    <row r="528" spans="2:24" ht="13.2" x14ac:dyDescent="0.25">
      <c r="B528" s="113"/>
      <c r="C528" s="9">
        <v>2022</v>
      </c>
      <c r="D528" s="9">
        <v>1</v>
      </c>
      <c r="E528" s="9">
        <v>0</v>
      </c>
      <c r="F528" s="9">
        <v>0</v>
      </c>
      <c r="G528" s="9">
        <v>1</v>
      </c>
      <c r="H528" s="9">
        <v>0</v>
      </c>
      <c r="I528" s="9">
        <v>1</v>
      </c>
      <c r="J528" s="9">
        <v>1</v>
      </c>
      <c r="K528" s="9">
        <v>1</v>
      </c>
      <c r="L528" s="9">
        <v>0</v>
      </c>
      <c r="M528" s="9">
        <v>1</v>
      </c>
      <c r="N528" s="9">
        <v>0</v>
      </c>
      <c r="O528" s="9">
        <v>1</v>
      </c>
      <c r="P528" s="9">
        <v>0</v>
      </c>
      <c r="Q528" s="9">
        <v>0</v>
      </c>
      <c r="R528" s="9">
        <v>1</v>
      </c>
      <c r="S528" s="9">
        <v>1</v>
      </c>
      <c r="T528" s="9">
        <v>0</v>
      </c>
      <c r="U528" s="9">
        <v>1</v>
      </c>
      <c r="V528" s="9">
        <v>1</v>
      </c>
      <c r="W528" s="9">
        <v>1</v>
      </c>
      <c r="X528" s="1">
        <f t="shared" si="4"/>
        <v>12</v>
      </c>
    </row>
    <row r="529" spans="2:24" ht="13.2" x14ac:dyDescent="0.25">
      <c r="B529" s="112" t="s">
        <v>180</v>
      </c>
      <c r="C529" s="9">
        <v>2018</v>
      </c>
      <c r="D529" s="9">
        <v>0</v>
      </c>
      <c r="E529" s="9">
        <v>1</v>
      </c>
      <c r="F529" s="9">
        <v>1</v>
      </c>
      <c r="G529" s="9">
        <v>0</v>
      </c>
      <c r="H529" s="9">
        <v>1</v>
      </c>
      <c r="I529" s="9">
        <v>0</v>
      </c>
      <c r="J529" s="9">
        <v>0</v>
      </c>
      <c r="K529" s="9">
        <v>1</v>
      </c>
      <c r="L529" s="9">
        <v>1</v>
      </c>
      <c r="M529" s="9">
        <v>0</v>
      </c>
      <c r="N529" s="9">
        <v>1</v>
      </c>
      <c r="O529" s="9">
        <v>0</v>
      </c>
      <c r="P529" s="9">
        <v>0</v>
      </c>
      <c r="Q529" s="9">
        <v>1</v>
      </c>
      <c r="R529" s="9">
        <v>1</v>
      </c>
      <c r="S529" s="9">
        <v>1</v>
      </c>
      <c r="T529" s="9">
        <v>0</v>
      </c>
      <c r="U529" s="9">
        <v>0</v>
      </c>
      <c r="V529" s="9">
        <v>0</v>
      </c>
      <c r="W529" s="9">
        <v>1</v>
      </c>
      <c r="X529" s="1">
        <f t="shared" si="4"/>
        <v>10</v>
      </c>
    </row>
    <row r="530" spans="2:24" ht="13.2" x14ac:dyDescent="0.25">
      <c r="B530" s="109"/>
      <c r="C530" s="9">
        <v>2019</v>
      </c>
      <c r="D530" s="9">
        <v>0</v>
      </c>
      <c r="E530" s="9">
        <v>0</v>
      </c>
      <c r="F530" s="9">
        <v>0</v>
      </c>
      <c r="G530" s="9">
        <v>1</v>
      </c>
      <c r="H530" s="9">
        <v>1</v>
      </c>
      <c r="I530" s="9">
        <v>0</v>
      </c>
      <c r="J530" s="9">
        <v>1</v>
      </c>
      <c r="K530" s="9">
        <v>1</v>
      </c>
      <c r="L530" s="9">
        <v>0</v>
      </c>
      <c r="M530" s="9">
        <v>0</v>
      </c>
      <c r="N530" s="9">
        <v>1</v>
      </c>
      <c r="O530" s="9">
        <v>0</v>
      </c>
      <c r="P530" s="9">
        <v>0</v>
      </c>
      <c r="Q530" s="9">
        <v>1</v>
      </c>
      <c r="R530" s="9">
        <v>0</v>
      </c>
      <c r="S530" s="9">
        <v>1</v>
      </c>
      <c r="T530" s="9">
        <v>1</v>
      </c>
      <c r="U530" s="9">
        <v>1</v>
      </c>
      <c r="V530" s="9">
        <v>0</v>
      </c>
      <c r="W530" s="9">
        <v>1</v>
      </c>
      <c r="X530" s="1">
        <f t="shared" si="4"/>
        <v>10</v>
      </c>
    </row>
    <row r="531" spans="2:24" ht="13.2" x14ac:dyDescent="0.25">
      <c r="B531" s="109"/>
      <c r="C531" s="9">
        <v>2020</v>
      </c>
      <c r="D531" s="9">
        <v>0</v>
      </c>
      <c r="E531" s="9">
        <v>1</v>
      </c>
      <c r="F531" s="9">
        <v>0</v>
      </c>
      <c r="G531" s="9">
        <v>0</v>
      </c>
      <c r="H531" s="9">
        <v>1</v>
      </c>
      <c r="I531" s="9">
        <v>0</v>
      </c>
      <c r="J531" s="9">
        <v>1</v>
      </c>
      <c r="K531" s="9">
        <v>1</v>
      </c>
      <c r="L531" s="9">
        <v>1</v>
      </c>
      <c r="M531" s="9">
        <v>1</v>
      </c>
      <c r="N531" s="9">
        <v>1</v>
      </c>
      <c r="O531" s="9">
        <v>1</v>
      </c>
      <c r="P531" s="9">
        <v>0</v>
      </c>
      <c r="Q531" s="9">
        <v>1</v>
      </c>
      <c r="R531" s="9">
        <v>0</v>
      </c>
      <c r="S531" s="9">
        <v>1</v>
      </c>
      <c r="T531" s="9">
        <v>0</v>
      </c>
      <c r="U531" s="9">
        <v>1</v>
      </c>
      <c r="V531" s="9">
        <v>0</v>
      </c>
      <c r="W531" s="9">
        <v>0</v>
      </c>
      <c r="X531" s="1">
        <f t="shared" si="4"/>
        <v>11</v>
      </c>
    </row>
    <row r="532" spans="2:24" ht="13.2" x14ac:dyDescent="0.25">
      <c r="B532" s="109"/>
      <c r="C532" s="9">
        <v>2021</v>
      </c>
      <c r="D532" s="9">
        <v>0</v>
      </c>
      <c r="E532" s="9">
        <v>1</v>
      </c>
      <c r="F532" s="9">
        <v>1</v>
      </c>
      <c r="G532" s="9">
        <v>1</v>
      </c>
      <c r="H532" s="9">
        <v>0</v>
      </c>
      <c r="I532" s="9">
        <v>1</v>
      </c>
      <c r="J532" s="9">
        <v>0</v>
      </c>
      <c r="K532" s="9">
        <v>1</v>
      </c>
      <c r="L532" s="9">
        <v>1</v>
      </c>
      <c r="M532" s="9">
        <v>0</v>
      </c>
      <c r="N532" s="9">
        <v>1</v>
      </c>
      <c r="O532" s="9">
        <v>0</v>
      </c>
      <c r="P532" s="9">
        <v>1</v>
      </c>
      <c r="Q532" s="9">
        <v>1</v>
      </c>
      <c r="R532" s="9">
        <v>0</v>
      </c>
      <c r="S532" s="9">
        <v>1</v>
      </c>
      <c r="T532" s="9">
        <v>0</v>
      </c>
      <c r="U532" s="9">
        <v>0</v>
      </c>
      <c r="V532" s="9">
        <v>1</v>
      </c>
      <c r="W532" s="9">
        <v>1</v>
      </c>
      <c r="X532" s="1">
        <f t="shared" si="4"/>
        <v>12</v>
      </c>
    </row>
    <row r="533" spans="2:24" ht="13.2" x14ac:dyDescent="0.25">
      <c r="B533" s="113"/>
      <c r="C533" s="9">
        <v>2022</v>
      </c>
      <c r="D533" s="9">
        <v>0</v>
      </c>
      <c r="E533" s="9">
        <v>0</v>
      </c>
      <c r="F533" s="9">
        <v>0</v>
      </c>
      <c r="G533" s="9">
        <v>1</v>
      </c>
      <c r="H533" s="9">
        <v>1</v>
      </c>
      <c r="I533" s="9">
        <v>0</v>
      </c>
      <c r="J533" s="9">
        <v>0</v>
      </c>
      <c r="K533" s="9">
        <v>1</v>
      </c>
      <c r="L533" s="9">
        <v>1</v>
      </c>
      <c r="M533" s="9">
        <v>0</v>
      </c>
      <c r="N533" s="9">
        <v>1</v>
      </c>
      <c r="O533" s="9">
        <v>1</v>
      </c>
      <c r="P533" s="9">
        <v>0</v>
      </c>
      <c r="Q533" s="9">
        <v>0</v>
      </c>
      <c r="R533" s="9">
        <v>1</v>
      </c>
      <c r="S533" s="9">
        <v>0</v>
      </c>
      <c r="T533" s="9">
        <v>1</v>
      </c>
      <c r="U533" s="9">
        <v>0</v>
      </c>
      <c r="V533" s="9">
        <v>0</v>
      </c>
      <c r="W533" s="9">
        <v>0</v>
      </c>
      <c r="X533" s="1">
        <f t="shared" si="4"/>
        <v>8</v>
      </c>
    </row>
    <row r="534" spans="2:24" ht="13.2" x14ac:dyDescent="0.25">
      <c r="B534" s="112" t="s">
        <v>181</v>
      </c>
      <c r="C534" s="9">
        <v>2018</v>
      </c>
      <c r="D534" s="9">
        <v>1</v>
      </c>
      <c r="E534" s="9">
        <v>0</v>
      </c>
      <c r="F534" s="9">
        <v>1</v>
      </c>
      <c r="G534" s="9">
        <v>1</v>
      </c>
      <c r="H534" s="9">
        <v>1</v>
      </c>
      <c r="I534" s="9">
        <v>0</v>
      </c>
      <c r="J534" s="9">
        <v>1</v>
      </c>
      <c r="K534" s="9">
        <v>0</v>
      </c>
      <c r="L534" s="9">
        <v>0</v>
      </c>
      <c r="M534" s="9">
        <v>0</v>
      </c>
      <c r="N534" s="9">
        <v>0</v>
      </c>
      <c r="O534" s="9">
        <v>1</v>
      </c>
      <c r="P534" s="9">
        <v>0</v>
      </c>
      <c r="Q534" s="9">
        <v>1</v>
      </c>
      <c r="R534" s="9">
        <v>0</v>
      </c>
      <c r="S534" s="9">
        <v>1</v>
      </c>
      <c r="T534" s="9">
        <v>0</v>
      </c>
      <c r="U534" s="9">
        <v>0</v>
      </c>
      <c r="V534" s="9">
        <v>0</v>
      </c>
      <c r="W534" s="9">
        <v>0</v>
      </c>
      <c r="X534" s="1">
        <f t="shared" si="4"/>
        <v>8</v>
      </c>
    </row>
    <row r="535" spans="2:24" ht="13.2" x14ac:dyDescent="0.25">
      <c r="B535" s="109"/>
      <c r="C535" s="9">
        <v>2019</v>
      </c>
      <c r="D535" s="9">
        <v>1</v>
      </c>
      <c r="E535" s="9">
        <v>1</v>
      </c>
      <c r="F535" s="9">
        <v>0</v>
      </c>
      <c r="G535" s="9">
        <v>1</v>
      </c>
      <c r="H535" s="9">
        <v>0</v>
      </c>
      <c r="I535" s="9">
        <v>0</v>
      </c>
      <c r="J535" s="9">
        <v>0</v>
      </c>
      <c r="K535" s="9">
        <v>0</v>
      </c>
      <c r="L535" s="9">
        <v>1</v>
      </c>
      <c r="M535" s="9">
        <v>1</v>
      </c>
      <c r="N535" s="9">
        <v>1</v>
      </c>
      <c r="O535" s="9">
        <v>1</v>
      </c>
      <c r="P535" s="9">
        <v>1</v>
      </c>
      <c r="Q535" s="9">
        <v>0</v>
      </c>
      <c r="R535" s="9">
        <v>1</v>
      </c>
      <c r="S535" s="9">
        <v>1</v>
      </c>
      <c r="T535" s="9">
        <v>0</v>
      </c>
      <c r="U535" s="9">
        <v>1</v>
      </c>
      <c r="V535" s="9">
        <v>0</v>
      </c>
      <c r="W535" s="9">
        <v>0</v>
      </c>
      <c r="X535" s="1">
        <f t="shared" si="4"/>
        <v>11</v>
      </c>
    </row>
    <row r="536" spans="2:24" ht="13.2" x14ac:dyDescent="0.25">
      <c r="B536" s="109"/>
      <c r="C536" s="9">
        <v>2020</v>
      </c>
      <c r="D536" s="9">
        <v>0</v>
      </c>
      <c r="E536" s="9">
        <v>0</v>
      </c>
      <c r="F536" s="9">
        <v>1</v>
      </c>
      <c r="G536" s="9">
        <v>0</v>
      </c>
      <c r="H536" s="9">
        <v>1</v>
      </c>
      <c r="I536" s="9">
        <v>1</v>
      </c>
      <c r="J536" s="9">
        <v>0</v>
      </c>
      <c r="K536" s="9">
        <v>0</v>
      </c>
      <c r="L536" s="9">
        <v>1</v>
      </c>
      <c r="M536" s="9">
        <v>0</v>
      </c>
      <c r="N536" s="9">
        <v>1</v>
      </c>
      <c r="O536" s="9">
        <v>1</v>
      </c>
      <c r="P536" s="9">
        <v>1</v>
      </c>
      <c r="Q536" s="9">
        <v>1</v>
      </c>
      <c r="R536" s="9">
        <v>1</v>
      </c>
      <c r="S536" s="9">
        <v>0</v>
      </c>
      <c r="T536" s="9">
        <v>0</v>
      </c>
      <c r="U536" s="9">
        <v>1</v>
      </c>
      <c r="V536" s="9">
        <v>1</v>
      </c>
      <c r="W536" s="9">
        <v>1</v>
      </c>
      <c r="X536" s="1">
        <f t="shared" si="4"/>
        <v>12</v>
      </c>
    </row>
    <row r="537" spans="2:24" ht="13.2" x14ac:dyDescent="0.25">
      <c r="B537" s="109"/>
      <c r="C537" s="9">
        <v>2021</v>
      </c>
      <c r="D537" s="9">
        <v>0</v>
      </c>
      <c r="E537" s="9">
        <v>1</v>
      </c>
      <c r="F537" s="9">
        <v>1</v>
      </c>
      <c r="G537" s="9">
        <v>0</v>
      </c>
      <c r="H537" s="9">
        <v>0</v>
      </c>
      <c r="I537" s="9">
        <v>0</v>
      </c>
      <c r="J537" s="9">
        <v>0</v>
      </c>
      <c r="K537" s="9">
        <v>1</v>
      </c>
      <c r="L537" s="9">
        <v>1</v>
      </c>
      <c r="M537" s="9">
        <v>1</v>
      </c>
      <c r="N537" s="9">
        <v>1</v>
      </c>
      <c r="O537" s="9">
        <v>1</v>
      </c>
      <c r="P537" s="9">
        <v>0</v>
      </c>
      <c r="Q537" s="9">
        <v>1</v>
      </c>
      <c r="R537" s="9">
        <v>1</v>
      </c>
      <c r="S537" s="9">
        <v>0</v>
      </c>
      <c r="T537" s="9">
        <v>1</v>
      </c>
      <c r="U537" s="9">
        <v>0</v>
      </c>
      <c r="V537" s="9">
        <v>0</v>
      </c>
      <c r="W537" s="9">
        <v>1</v>
      </c>
      <c r="X537" s="1">
        <f t="shared" si="4"/>
        <v>11</v>
      </c>
    </row>
    <row r="538" spans="2:24" ht="13.2" x14ac:dyDescent="0.25">
      <c r="B538" s="113"/>
      <c r="C538" s="9">
        <v>2022</v>
      </c>
      <c r="D538" s="9">
        <v>1</v>
      </c>
      <c r="E538" s="9">
        <v>1</v>
      </c>
      <c r="F538" s="9">
        <v>1</v>
      </c>
      <c r="G538" s="9">
        <v>1</v>
      </c>
      <c r="H538" s="9">
        <v>0</v>
      </c>
      <c r="I538" s="9">
        <v>0</v>
      </c>
      <c r="J538" s="9">
        <v>0</v>
      </c>
      <c r="K538" s="9">
        <v>1</v>
      </c>
      <c r="L538" s="9">
        <v>1</v>
      </c>
      <c r="M538" s="9">
        <v>0</v>
      </c>
      <c r="N538" s="9">
        <v>1</v>
      </c>
      <c r="O538" s="9">
        <v>0</v>
      </c>
      <c r="P538" s="9">
        <v>0</v>
      </c>
      <c r="Q538" s="9">
        <v>1</v>
      </c>
      <c r="R538" s="9">
        <v>0</v>
      </c>
      <c r="S538" s="9">
        <v>0</v>
      </c>
      <c r="T538" s="9">
        <v>0</v>
      </c>
      <c r="U538" s="9">
        <v>0</v>
      </c>
      <c r="V538" s="9">
        <v>0</v>
      </c>
      <c r="W538" s="9">
        <v>0</v>
      </c>
      <c r="X538" s="1">
        <f t="shared" si="4"/>
        <v>8</v>
      </c>
    </row>
    <row r="539" spans="2:24" ht="13.2" x14ac:dyDescent="0.25">
      <c r="B539" s="112" t="s">
        <v>182</v>
      </c>
      <c r="C539" s="9">
        <v>2018</v>
      </c>
      <c r="D539" s="9">
        <v>1</v>
      </c>
      <c r="E539" s="9">
        <v>0</v>
      </c>
      <c r="F539" s="9">
        <v>1</v>
      </c>
      <c r="G539" s="9">
        <v>1</v>
      </c>
      <c r="H539" s="9">
        <v>0</v>
      </c>
      <c r="I539" s="9">
        <v>0</v>
      </c>
      <c r="J539" s="9">
        <v>0</v>
      </c>
      <c r="K539" s="9">
        <v>0</v>
      </c>
      <c r="L539" s="9">
        <v>0</v>
      </c>
      <c r="M539" s="9">
        <v>0</v>
      </c>
      <c r="N539" s="9">
        <v>0</v>
      </c>
      <c r="O539" s="9">
        <v>1</v>
      </c>
      <c r="P539" s="9">
        <v>1</v>
      </c>
      <c r="Q539" s="9">
        <v>1</v>
      </c>
      <c r="R539" s="9">
        <v>0</v>
      </c>
      <c r="S539" s="9">
        <v>1</v>
      </c>
      <c r="T539" s="9">
        <v>0</v>
      </c>
      <c r="U539" s="9">
        <v>1</v>
      </c>
      <c r="V539" s="9">
        <v>1</v>
      </c>
      <c r="W539" s="9">
        <v>1</v>
      </c>
      <c r="X539" s="1">
        <f t="shared" si="4"/>
        <v>10</v>
      </c>
    </row>
    <row r="540" spans="2:24" ht="13.2" x14ac:dyDescent="0.25">
      <c r="B540" s="109"/>
      <c r="C540" s="9">
        <v>2019</v>
      </c>
      <c r="D540" s="9">
        <v>0</v>
      </c>
      <c r="E540" s="9">
        <v>0</v>
      </c>
      <c r="F540" s="9">
        <v>0</v>
      </c>
      <c r="G540" s="9">
        <v>0</v>
      </c>
      <c r="H540" s="9">
        <v>1</v>
      </c>
      <c r="I540" s="9">
        <v>0</v>
      </c>
      <c r="J540" s="9">
        <v>0</v>
      </c>
      <c r="K540" s="9">
        <v>1</v>
      </c>
      <c r="L540" s="9">
        <v>0</v>
      </c>
      <c r="M540" s="9">
        <v>1</v>
      </c>
      <c r="N540" s="9">
        <v>0</v>
      </c>
      <c r="O540" s="9">
        <v>1</v>
      </c>
      <c r="P540" s="9">
        <v>0</v>
      </c>
      <c r="Q540" s="9">
        <v>0</v>
      </c>
      <c r="R540" s="9">
        <v>1</v>
      </c>
      <c r="S540" s="9">
        <v>0</v>
      </c>
      <c r="T540" s="9">
        <v>1</v>
      </c>
      <c r="U540" s="9">
        <v>1</v>
      </c>
      <c r="V540" s="9">
        <v>0</v>
      </c>
      <c r="W540" s="9">
        <v>1</v>
      </c>
      <c r="X540" s="1">
        <f t="shared" si="4"/>
        <v>8</v>
      </c>
    </row>
    <row r="541" spans="2:24" ht="13.2" x14ac:dyDescent="0.25">
      <c r="B541" s="109"/>
      <c r="C541" s="9">
        <v>2020</v>
      </c>
      <c r="D541" s="9">
        <v>0</v>
      </c>
      <c r="E541" s="9">
        <v>0</v>
      </c>
      <c r="F541" s="9">
        <v>1</v>
      </c>
      <c r="G541" s="9">
        <v>0</v>
      </c>
      <c r="H541" s="9">
        <v>0</v>
      </c>
      <c r="I541" s="9">
        <v>0</v>
      </c>
      <c r="J541" s="9">
        <v>0</v>
      </c>
      <c r="K541" s="9">
        <v>1</v>
      </c>
      <c r="L541" s="9">
        <v>0</v>
      </c>
      <c r="M541" s="9">
        <v>1</v>
      </c>
      <c r="N541" s="9">
        <v>0</v>
      </c>
      <c r="O541" s="9">
        <v>0</v>
      </c>
      <c r="P541" s="9">
        <v>1</v>
      </c>
      <c r="Q541" s="9">
        <v>0</v>
      </c>
      <c r="R541" s="9">
        <v>0</v>
      </c>
      <c r="S541" s="9">
        <v>1</v>
      </c>
      <c r="T541" s="9">
        <v>0</v>
      </c>
      <c r="U541" s="9">
        <v>1</v>
      </c>
      <c r="V541" s="9">
        <v>1</v>
      </c>
      <c r="W541" s="9">
        <v>0</v>
      </c>
      <c r="X541" s="1">
        <f t="shared" si="4"/>
        <v>7</v>
      </c>
    </row>
    <row r="542" spans="2:24" ht="13.2" x14ac:dyDescent="0.25">
      <c r="B542" s="109"/>
      <c r="C542" s="9">
        <v>2021</v>
      </c>
      <c r="D542" s="9">
        <v>0</v>
      </c>
      <c r="E542" s="9">
        <v>0</v>
      </c>
      <c r="F542" s="9">
        <v>1</v>
      </c>
      <c r="G542" s="9">
        <v>1</v>
      </c>
      <c r="H542" s="9">
        <v>0</v>
      </c>
      <c r="I542" s="9">
        <v>0</v>
      </c>
      <c r="J542" s="9">
        <v>0</v>
      </c>
      <c r="K542" s="9">
        <v>1</v>
      </c>
      <c r="L542" s="9">
        <v>0</v>
      </c>
      <c r="M542" s="9">
        <v>0</v>
      </c>
      <c r="N542" s="9">
        <v>0</v>
      </c>
      <c r="O542" s="9">
        <v>0</v>
      </c>
      <c r="P542" s="9">
        <v>0</v>
      </c>
      <c r="Q542" s="9">
        <v>0</v>
      </c>
      <c r="R542" s="9">
        <v>0</v>
      </c>
      <c r="S542" s="9">
        <v>1</v>
      </c>
      <c r="T542" s="9">
        <v>1</v>
      </c>
      <c r="U542" s="9">
        <v>0</v>
      </c>
      <c r="V542" s="9">
        <v>0</v>
      </c>
      <c r="W542" s="9">
        <v>0</v>
      </c>
      <c r="X542" s="1">
        <f t="shared" si="4"/>
        <v>5</v>
      </c>
    </row>
    <row r="543" spans="2:24" ht="13.2" x14ac:dyDescent="0.25">
      <c r="B543" s="113"/>
      <c r="C543" s="9">
        <v>2022</v>
      </c>
      <c r="D543" s="9">
        <v>0</v>
      </c>
      <c r="E543" s="9">
        <v>1</v>
      </c>
      <c r="F543" s="9">
        <v>0</v>
      </c>
      <c r="G543" s="9">
        <v>1</v>
      </c>
      <c r="H543" s="9">
        <v>0</v>
      </c>
      <c r="I543" s="9">
        <v>1</v>
      </c>
      <c r="J543" s="9">
        <v>1</v>
      </c>
      <c r="K543" s="9">
        <v>0</v>
      </c>
      <c r="L543" s="9">
        <v>1</v>
      </c>
      <c r="M543" s="9">
        <v>0</v>
      </c>
      <c r="N543" s="9">
        <v>0</v>
      </c>
      <c r="O543" s="9">
        <v>0</v>
      </c>
      <c r="P543" s="9">
        <v>0</v>
      </c>
      <c r="Q543" s="9">
        <v>0</v>
      </c>
      <c r="R543" s="9">
        <v>1</v>
      </c>
      <c r="S543" s="9">
        <v>1</v>
      </c>
      <c r="T543" s="9">
        <v>1</v>
      </c>
      <c r="U543" s="9">
        <v>0</v>
      </c>
      <c r="V543" s="9">
        <v>1</v>
      </c>
      <c r="W543" s="9">
        <v>1</v>
      </c>
      <c r="X543" s="1">
        <f t="shared" si="4"/>
        <v>10</v>
      </c>
    </row>
    <row r="544" spans="2:24" ht="13.2" x14ac:dyDescent="0.25">
      <c r="B544" s="112" t="s">
        <v>183</v>
      </c>
      <c r="C544" s="9">
        <v>2018</v>
      </c>
      <c r="D544" s="9">
        <v>0</v>
      </c>
      <c r="E544" s="9">
        <v>1</v>
      </c>
      <c r="F544" s="9">
        <v>0</v>
      </c>
      <c r="G544" s="9">
        <v>1</v>
      </c>
      <c r="H544" s="9">
        <v>0</v>
      </c>
      <c r="I544" s="9">
        <v>1</v>
      </c>
      <c r="J544" s="9">
        <v>1</v>
      </c>
      <c r="K544" s="9">
        <v>1</v>
      </c>
      <c r="L544" s="9">
        <v>1</v>
      </c>
      <c r="M544" s="9">
        <v>0</v>
      </c>
      <c r="N544" s="9">
        <v>0</v>
      </c>
      <c r="O544" s="9">
        <v>1</v>
      </c>
      <c r="P544" s="9">
        <v>0</v>
      </c>
      <c r="Q544" s="9">
        <v>1</v>
      </c>
      <c r="R544" s="9">
        <v>1</v>
      </c>
      <c r="S544" s="9">
        <v>1</v>
      </c>
      <c r="T544" s="9">
        <v>0</v>
      </c>
      <c r="U544" s="9">
        <v>1</v>
      </c>
      <c r="V544" s="9">
        <v>1</v>
      </c>
      <c r="W544" s="9">
        <v>1</v>
      </c>
      <c r="X544" s="1">
        <f t="shared" si="4"/>
        <v>13</v>
      </c>
    </row>
    <row r="545" spans="2:24" ht="13.2" x14ac:dyDescent="0.25">
      <c r="B545" s="109"/>
      <c r="C545" s="9">
        <v>2019</v>
      </c>
      <c r="D545" s="9">
        <v>1</v>
      </c>
      <c r="E545" s="9">
        <v>0</v>
      </c>
      <c r="F545" s="9">
        <v>1</v>
      </c>
      <c r="G545" s="9">
        <v>0</v>
      </c>
      <c r="H545" s="9">
        <v>0</v>
      </c>
      <c r="I545" s="9">
        <v>0</v>
      </c>
      <c r="J545" s="9">
        <v>1</v>
      </c>
      <c r="K545" s="9">
        <v>1</v>
      </c>
      <c r="L545" s="9">
        <v>0</v>
      </c>
      <c r="M545" s="9">
        <v>1</v>
      </c>
      <c r="N545" s="9">
        <v>1</v>
      </c>
      <c r="O545" s="9">
        <v>0</v>
      </c>
      <c r="P545" s="9">
        <v>0</v>
      </c>
      <c r="Q545" s="9">
        <v>0</v>
      </c>
      <c r="R545" s="9">
        <v>0</v>
      </c>
      <c r="S545" s="9">
        <v>0</v>
      </c>
      <c r="T545" s="9">
        <v>1</v>
      </c>
      <c r="U545" s="9">
        <v>1</v>
      </c>
      <c r="V545" s="9">
        <v>1</v>
      </c>
      <c r="W545" s="9">
        <v>1</v>
      </c>
      <c r="X545" s="1">
        <f t="shared" si="4"/>
        <v>10</v>
      </c>
    </row>
    <row r="546" spans="2:24" ht="13.2" x14ac:dyDescent="0.25">
      <c r="B546" s="109"/>
      <c r="C546" s="9">
        <v>2020</v>
      </c>
      <c r="D546" s="9">
        <v>0</v>
      </c>
      <c r="E546" s="9">
        <v>0</v>
      </c>
      <c r="F546" s="9">
        <v>0</v>
      </c>
      <c r="G546" s="9">
        <v>1</v>
      </c>
      <c r="H546" s="9">
        <v>1</v>
      </c>
      <c r="I546" s="9">
        <v>0</v>
      </c>
      <c r="J546" s="9">
        <v>0</v>
      </c>
      <c r="K546" s="9">
        <v>0</v>
      </c>
      <c r="L546" s="9">
        <v>0</v>
      </c>
      <c r="M546" s="9">
        <v>1</v>
      </c>
      <c r="N546" s="9">
        <v>0</v>
      </c>
      <c r="O546" s="9">
        <v>0</v>
      </c>
      <c r="P546" s="9">
        <v>0</v>
      </c>
      <c r="Q546" s="9">
        <v>0</v>
      </c>
      <c r="R546" s="9">
        <v>0</v>
      </c>
      <c r="S546" s="9">
        <v>1</v>
      </c>
      <c r="T546" s="9">
        <v>1</v>
      </c>
      <c r="U546" s="9">
        <v>1</v>
      </c>
      <c r="V546" s="9">
        <v>1</v>
      </c>
      <c r="W546" s="9">
        <v>0</v>
      </c>
      <c r="X546" s="1">
        <f t="shared" si="4"/>
        <v>7</v>
      </c>
    </row>
    <row r="547" spans="2:24" ht="13.2" x14ac:dyDescent="0.25">
      <c r="B547" s="109"/>
      <c r="C547" s="9">
        <v>2021</v>
      </c>
      <c r="D547" s="9">
        <v>1</v>
      </c>
      <c r="E547" s="9">
        <v>1</v>
      </c>
      <c r="F547" s="9">
        <v>1</v>
      </c>
      <c r="G547" s="9">
        <v>0</v>
      </c>
      <c r="H547" s="9">
        <v>1</v>
      </c>
      <c r="I547" s="9">
        <v>1</v>
      </c>
      <c r="J547" s="9">
        <v>0</v>
      </c>
      <c r="K547" s="9">
        <v>1</v>
      </c>
      <c r="L547" s="9">
        <v>0</v>
      </c>
      <c r="M547" s="9">
        <v>1</v>
      </c>
      <c r="N547" s="9">
        <v>1</v>
      </c>
      <c r="O547" s="9">
        <v>0</v>
      </c>
      <c r="P547" s="9">
        <v>0</v>
      </c>
      <c r="Q547" s="9">
        <v>0</v>
      </c>
      <c r="R547" s="9">
        <v>1</v>
      </c>
      <c r="S547" s="9">
        <v>0</v>
      </c>
      <c r="T547" s="9">
        <v>0</v>
      </c>
      <c r="U547" s="9">
        <v>0</v>
      </c>
      <c r="V547" s="9">
        <v>0</v>
      </c>
      <c r="W547" s="9">
        <v>1</v>
      </c>
      <c r="X547" s="1">
        <f t="shared" si="4"/>
        <v>10</v>
      </c>
    </row>
    <row r="548" spans="2:24" ht="13.2" x14ac:dyDescent="0.25">
      <c r="B548" s="113"/>
      <c r="C548" s="9">
        <v>2022</v>
      </c>
      <c r="D548" s="9">
        <v>1</v>
      </c>
      <c r="E548" s="9">
        <v>1</v>
      </c>
      <c r="F548" s="9">
        <v>1</v>
      </c>
      <c r="G548" s="9">
        <v>1</v>
      </c>
      <c r="H548" s="9">
        <v>0</v>
      </c>
      <c r="I548" s="9">
        <v>0</v>
      </c>
      <c r="J548" s="9">
        <v>0</v>
      </c>
      <c r="K548" s="9">
        <v>0</v>
      </c>
      <c r="L548" s="9">
        <v>1</v>
      </c>
      <c r="M548" s="9">
        <v>1</v>
      </c>
      <c r="N548" s="9">
        <v>1</v>
      </c>
      <c r="O548" s="9">
        <v>0</v>
      </c>
      <c r="P548" s="9">
        <v>0</v>
      </c>
      <c r="Q548" s="9">
        <v>0</v>
      </c>
      <c r="R548" s="9">
        <v>0</v>
      </c>
      <c r="S548" s="9">
        <v>1</v>
      </c>
      <c r="T548" s="9">
        <v>1</v>
      </c>
      <c r="U548" s="9">
        <v>0</v>
      </c>
      <c r="V548" s="9">
        <v>1</v>
      </c>
      <c r="W548" s="9">
        <v>1</v>
      </c>
      <c r="X548" s="1">
        <f t="shared" si="4"/>
        <v>11</v>
      </c>
    </row>
    <row r="549" spans="2:24" ht="13.2" x14ac:dyDescent="0.25">
      <c r="B549" s="112" t="s">
        <v>184</v>
      </c>
      <c r="C549" s="9">
        <v>2018</v>
      </c>
      <c r="D549" s="9">
        <v>0</v>
      </c>
      <c r="E549" s="9">
        <v>0</v>
      </c>
      <c r="F549" s="9">
        <v>0</v>
      </c>
      <c r="G549" s="9">
        <v>1</v>
      </c>
      <c r="H549" s="9">
        <v>1</v>
      </c>
      <c r="I549" s="9">
        <v>1</v>
      </c>
      <c r="J549" s="9">
        <v>0</v>
      </c>
      <c r="K549" s="9">
        <v>0</v>
      </c>
      <c r="L549" s="9">
        <v>0</v>
      </c>
      <c r="M549" s="9">
        <v>1</v>
      </c>
      <c r="N549" s="9">
        <v>0</v>
      </c>
      <c r="O549" s="9">
        <v>1</v>
      </c>
      <c r="P549" s="9">
        <v>0</v>
      </c>
      <c r="Q549" s="9">
        <v>1</v>
      </c>
      <c r="R549" s="9">
        <v>0</v>
      </c>
      <c r="S549" s="9">
        <v>0</v>
      </c>
      <c r="T549" s="9">
        <v>1</v>
      </c>
      <c r="U549" s="9">
        <v>1</v>
      </c>
      <c r="V549" s="9">
        <v>1</v>
      </c>
      <c r="W549" s="9">
        <v>0</v>
      </c>
      <c r="X549" s="1">
        <f t="shared" si="4"/>
        <v>9</v>
      </c>
    </row>
    <row r="550" spans="2:24" ht="13.2" x14ac:dyDescent="0.25">
      <c r="B550" s="109"/>
      <c r="C550" s="9">
        <v>2019</v>
      </c>
      <c r="D550" s="9">
        <v>1</v>
      </c>
      <c r="E550" s="9">
        <v>0</v>
      </c>
      <c r="F550" s="9">
        <v>1</v>
      </c>
      <c r="G550" s="9">
        <v>0</v>
      </c>
      <c r="H550" s="9">
        <v>0</v>
      </c>
      <c r="I550" s="9">
        <v>0</v>
      </c>
      <c r="J550" s="9">
        <v>1</v>
      </c>
      <c r="K550" s="9">
        <v>0</v>
      </c>
      <c r="L550" s="9">
        <v>0</v>
      </c>
      <c r="M550" s="9">
        <v>0</v>
      </c>
      <c r="N550" s="9">
        <v>0</v>
      </c>
      <c r="O550" s="9">
        <v>1</v>
      </c>
      <c r="P550" s="9">
        <v>0</v>
      </c>
      <c r="Q550" s="9">
        <v>0</v>
      </c>
      <c r="R550" s="9">
        <v>1</v>
      </c>
      <c r="S550" s="9">
        <v>1</v>
      </c>
      <c r="T550" s="9">
        <v>0</v>
      </c>
      <c r="U550" s="9">
        <v>0</v>
      </c>
      <c r="V550" s="9">
        <v>1</v>
      </c>
      <c r="W550" s="9">
        <v>0</v>
      </c>
      <c r="X550" s="1">
        <f t="shared" si="4"/>
        <v>7</v>
      </c>
    </row>
    <row r="551" spans="2:24" ht="13.2" x14ac:dyDescent="0.25">
      <c r="B551" s="109"/>
      <c r="C551" s="9">
        <v>2020</v>
      </c>
      <c r="D551" s="9">
        <v>1</v>
      </c>
      <c r="E551" s="9">
        <v>0</v>
      </c>
      <c r="F551" s="9">
        <v>0</v>
      </c>
      <c r="G551" s="9">
        <v>1</v>
      </c>
      <c r="H551" s="9">
        <v>0</v>
      </c>
      <c r="I551" s="9">
        <v>0</v>
      </c>
      <c r="J551" s="9">
        <v>0</v>
      </c>
      <c r="K551" s="9">
        <v>0</v>
      </c>
      <c r="L551" s="9">
        <v>1</v>
      </c>
      <c r="M551" s="9">
        <v>1</v>
      </c>
      <c r="N551" s="9">
        <v>1</v>
      </c>
      <c r="O551" s="9">
        <v>0</v>
      </c>
      <c r="P551" s="9">
        <v>0</v>
      </c>
      <c r="Q551" s="9">
        <v>1</v>
      </c>
      <c r="R551" s="9">
        <v>0</v>
      </c>
      <c r="S551" s="9">
        <v>1</v>
      </c>
      <c r="T551" s="9">
        <v>1</v>
      </c>
      <c r="U551" s="9">
        <v>1</v>
      </c>
      <c r="V551" s="9">
        <v>1</v>
      </c>
      <c r="W551" s="9">
        <v>1</v>
      </c>
      <c r="X551" s="1">
        <f t="shared" si="4"/>
        <v>11</v>
      </c>
    </row>
    <row r="552" spans="2:24" ht="13.2" x14ac:dyDescent="0.25">
      <c r="B552" s="109"/>
      <c r="C552" s="9">
        <v>2021</v>
      </c>
      <c r="D552" s="9">
        <v>0</v>
      </c>
      <c r="E552" s="9">
        <v>0</v>
      </c>
      <c r="F552" s="9">
        <v>1</v>
      </c>
      <c r="G552" s="9">
        <v>0</v>
      </c>
      <c r="H552" s="9">
        <v>0</v>
      </c>
      <c r="I552" s="9">
        <v>1</v>
      </c>
      <c r="J552" s="9">
        <v>0</v>
      </c>
      <c r="K552" s="9">
        <v>0</v>
      </c>
      <c r="L552" s="9">
        <v>1</v>
      </c>
      <c r="M552" s="9">
        <v>1</v>
      </c>
      <c r="N552" s="9">
        <v>0</v>
      </c>
      <c r="O552" s="9">
        <v>1</v>
      </c>
      <c r="P552" s="9">
        <v>0</v>
      </c>
      <c r="Q552" s="9">
        <v>0</v>
      </c>
      <c r="R552" s="9">
        <v>0</v>
      </c>
      <c r="S552" s="9">
        <v>1</v>
      </c>
      <c r="T552" s="9">
        <v>0</v>
      </c>
      <c r="U552" s="9">
        <v>0</v>
      </c>
      <c r="V552" s="9">
        <v>1</v>
      </c>
      <c r="W552" s="9">
        <v>1</v>
      </c>
      <c r="X552" s="1">
        <f t="shared" si="4"/>
        <v>8</v>
      </c>
    </row>
    <row r="553" spans="2:24" ht="13.2" x14ac:dyDescent="0.25">
      <c r="B553" s="113"/>
      <c r="C553" s="9">
        <v>2022</v>
      </c>
      <c r="D553" s="9">
        <v>0</v>
      </c>
      <c r="E553" s="9">
        <v>1</v>
      </c>
      <c r="F553" s="9">
        <v>1</v>
      </c>
      <c r="G553" s="9">
        <v>0</v>
      </c>
      <c r="H553" s="9">
        <v>1</v>
      </c>
      <c r="I553" s="9">
        <v>1</v>
      </c>
      <c r="J553" s="9">
        <v>0</v>
      </c>
      <c r="K553" s="9">
        <v>1</v>
      </c>
      <c r="L553" s="9">
        <v>0</v>
      </c>
      <c r="M553" s="9">
        <v>1</v>
      </c>
      <c r="N553" s="9">
        <v>1</v>
      </c>
      <c r="O553" s="9">
        <v>1</v>
      </c>
      <c r="P553" s="9">
        <v>1</v>
      </c>
      <c r="Q553" s="9">
        <v>0</v>
      </c>
      <c r="R553" s="9">
        <v>1</v>
      </c>
      <c r="S553" s="9">
        <v>0</v>
      </c>
      <c r="T553" s="9">
        <v>1</v>
      </c>
      <c r="U553" s="9">
        <v>0</v>
      </c>
      <c r="V553" s="9">
        <v>1</v>
      </c>
      <c r="W553" s="9">
        <v>1</v>
      </c>
      <c r="X553" s="1">
        <f t="shared" si="4"/>
        <v>13</v>
      </c>
    </row>
    <row r="554" spans="2:24" ht="13.2" x14ac:dyDescent="0.25">
      <c r="B554" s="112" t="s">
        <v>185</v>
      </c>
      <c r="C554" s="9">
        <v>2018</v>
      </c>
      <c r="D554" s="9">
        <v>0</v>
      </c>
      <c r="E554" s="9">
        <v>0</v>
      </c>
      <c r="F554" s="9">
        <v>1</v>
      </c>
      <c r="G554" s="9">
        <v>1</v>
      </c>
      <c r="H554" s="9">
        <v>1</v>
      </c>
      <c r="I554" s="9">
        <v>0</v>
      </c>
      <c r="J554" s="9">
        <v>1</v>
      </c>
      <c r="K554" s="9">
        <v>1</v>
      </c>
      <c r="L554" s="9">
        <v>0</v>
      </c>
      <c r="M554" s="9">
        <v>0</v>
      </c>
      <c r="N554" s="9">
        <v>0</v>
      </c>
      <c r="O554" s="9">
        <v>1</v>
      </c>
      <c r="P554" s="9">
        <v>1</v>
      </c>
      <c r="Q554" s="9">
        <v>0</v>
      </c>
      <c r="R554" s="9">
        <v>0</v>
      </c>
      <c r="S554" s="9">
        <v>0</v>
      </c>
      <c r="T554" s="9">
        <v>0</v>
      </c>
      <c r="U554" s="9">
        <v>0</v>
      </c>
      <c r="V554" s="9">
        <v>1</v>
      </c>
      <c r="W554" s="9">
        <v>0</v>
      </c>
      <c r="X554" s="1">
        <f t="shared" si="4"/>
        <v>8</v>
      </c>
    </row>
    <row r="555" spans="2:24" ht="13.2" x14ac:dyDescent="0.25">
      <c r="B555" s="109"/>
      <c r="C555" s="9">
        <v>2019</v>
      </c>
      <c r="D555" s="9">
        <v>0</v>
      </c>
      <c r="E555" s="9">
        <v>0</v>
      </c>
      <c r="F555" s="9">
        <v>1</v>
      </c>
      <c r="G555" s="9">
        <v>0</v>
      </c>
      <c r="H555" s="9">
        <v>0</v>
      </c>
      <c r="I555" s="9">
        <v>0</v>
      </c>
      <c r="J555" s="9">
        <v>1</v>
      </c>
      <c r="K555" s="9">
        <v>0</v>
      </c>
      <c r="L555" s="9">
        <v>1</v>
      </c>
      <c r="M555" s="9">
        <v>0</v>
      </c>
      <c r="N555" s="9">
        <v>1</v>
      </c>
      <c r="O555" s="9">
        <v>0</v>
      </c>
      <c r="P555" s="9">
        <v>1</v>
      </c>
      <c r="Q555" s="9">
        <v>1</v>
      </c>
      <c r="R555" s="9">
        <v>1</v>
      </c>
      <c r="S555" s="9">
        <v>0</v>
      </c>
      <c r="T555" s="9">
        <v>0</v>
      </c>
      <c r="U555" s="9">
        <v>0</v>
      </c>
      <c r="V555" s="9">
        <v>1</v>
      </c>
      <c r="W555" s="9">
        <v>0</v>
      </c>
      <c r="X555" s="1">
        <f t="shared" si="4"/>
        <v>8</v>
      </c>
    </row>
    <row r="556" spans="2:24" ht="13.2" x14ac:dyDescent="0.25">
      <c r="B556" s="109"/>
      <c r="C556" s="9">
        <v>2020</v>
      </c>
      <c r="D556" s="9">
        <v>0</v>
      </c>
      <c r="E556" s="9">
        <v>0</v>
      </c>
      <c r="F556" s="9">
        <v>0</v>
      </c>
      <c r="G556" s="9">
        <v>1</v>
      </c>
      <c r="H556" s="9">
        <v>1</v>
      </c>
      <c r="I556" s="9">
        <v>0</v>
      </c>
      <c r="J556" s="9">
        <v>0</v>
      </c>
      <c r="K556" s="9">
        <v>0</v>
      </c>
      <c r="L556" s="9">
        <v>0</v>
      </c>
      <c r="M556" s="9">
        <v>0</v>
      </c>
      <c r="N556" s="9">
        <v>1</v>
      </c>
      <c r="O556" s="9">
        <v>0</v>
      </c>
      <c r="P556" s="9">
        <v>1</v>
      </c>
      <c r="Q556" s="9">
        <v>0</v>
      </c>
      <c r="R556" s="9">
        <v>1</v>
      </c>
      <c r="S556" s="9">
        <v>1</v>
      </c>
      <c r="T556" s="9">
        <v>0</v>
      </c>
      <c r="U556" s="9">
        <v>0</v>
      </c>
      <c r="V556" s="9">
        <v>1</v>
      </c>
      <c r="W556" s="9">
        <v>1</v>
      </c>
      <c r="X556" s="1">
        <f t="shared" si="4"/>
        <v>8</v>
      </c>
    </row>
    <row r="557" spans="2:24" ht="13.2" x14ac:dyDescent="0.25">
      <c r="B557" s="109"/>
      <c r="C557" s="9">
        <v>2021</v>
      </c>
      <c r="D557" s="9">
        <v>1</v>
      </c>
      <c r="E557" s="9">
        <v>0</v>
      </c>
      <c r="F557" s="9">
        <v>0</v>
      </c>
      <c r="G557" s="9">
        <v>0</v>
      </c>
      <c r="H557" s="9">
        <v>1</v>
      </c>
      <c r="I557" s="9">
        <v>0</v>
      </c>
      <c r="J557" s="9">
        <v>1</v>
      </c>
      <c r="K557" s="9">
        <v>1</v>
      </c>
      <c r="L557" s="9">
        <v>1</v>
      </c>
      <c r="M557" s="9">
        <v>0</v>
      </c>
      <c r="N557" s="9">
        <v>0</v>
      </c>
      <c r="O557" s="9">
        <v>1</v>
      </c>
      <c r="P557" s="9">
        <v>0</v>
      </c>
      <c r="Q557" s="9">
        <v>1</v>
      </c>
      <c r="R557" s="9">
        <v>0</v>
      </c>
      <c r="S557" s="9">
        <v>0</v>
      </c>
      <c r="T557" s="9">
        <v>0</v>
      </c>
      <c r="U557" s="9">
        <v>1</v>
      </c>
      <c r="V557" s="9">
        <v>0</v>
      </c>
      <c r="W557" s="9">
        <v>1</v>
      </c>
      <c r="X557" s="1">
        <f t="shared" si="4"/>
        <v>9</v>
      </c>
    </row>
    <row r="558" spans="2:24" ht="13.2" x14ac:dyDescent="0.25">
      <c r="B558" s="113"/>
      <c r="C558" s="9">
        <v>2022</v>
      </c>
      <c r="D558" s="9">
        <v>0</v>
      </c>
      <c r="E558" s="9">
        <v>1</v>
      </c>
      <c r="F558" s="9">
        <v>1</v>
      </c>
      <c r="G558" s="9">
        <v>0</v>
      </c>
      <c r="H558" s="9">
        <v>0</v>
      </c>
      <c r="I558" s="9">
        <v>0</v>
      </c>
      <c r="J558" s="9">
        <v>1</v>
      </c>
      <c r="K558" s="9">
        <v>0</v>
      </c>
      <c r="L558" s="9">
        <v>1</v>
      </c>
      <c r="M558" s="9">
        <v>1</v>
      </c>
      <c r="N558" s="9">
        <v>0</v>
      </c>
      <c r="O558" s="9">
        <v>0</v>
      </c>
      <c r="P558" s="9">
        <v>0</v>
      </c>
      <c r="Q558" s="9">
        <v>1</v>
      </c>
      <c r="R558" s="9">
        <v>0</v>
      </c>
      <c r="S558" s="9">
        <v>0</v>
      </c>
      <c r="T558" s="9">
        <v>0</v>
      </c>
      <c r="U558" s="9">
        <v>0</v>
      </c>
      <c r="V558" s="9">
        <v>1</v>
      </c>
      <c r="W558" s="9">
        <v>1</v>
      </c>
      <c r="X558" s="1">
        <f t="shared" si="4"/>
        <v>8</v>
      </c>
    </row>
    <row r="559" spans="2:24" ht="13.2" x14ac:dyDescent="0.25">
      <c r="B559" s="112" t="s">
        <v>186</v>
      </c>
      <c r="C559" s="9">
        <v>2018</v>
      </c>
      <c r="D559" s="9">
        <v>1</v>
      </c>
      <c r="E559" s="9">
        <v>1</v>
      </c>
      <c r="F559" s="9">
        <v>1</v>
      </c>
      <c r="G559" s="9">
        <v>0</v>
      </c>
      <c r="H559" s="9">
        <v>0</v>
      </c>
      <c r="I559" s="9">
        <v>0</v>
      </c>
      <c r="J559" s="9">
        <v>0</v>
      </c>
      <c r="K559" s="9">
        <v>0</v>
      </c>
      <c r="L559" s="9">
        <v>0</v>
      </c>
      <c r="M559" s="9">
        <v>1</v>
      </c>
      <c r="N559" s="9">
        <v>0</v>
      </c>
      <c r="O559" s="9">
        <v>0</v>
      </c>
      <c r="P559" s="9">
        <v>1</v>
      </c>
      <c r="Q559" s="9">
        <v>1</v>
      </c>
      <c r="R559" s="9">
        <v>1</v>
      </c>
      <c r="S559" s="9">
        <v>0</v>
      </c>
      <c r="T559" s="9">
        <v>1</v>
      </c>
      <c r="U559" s="9">
        <v>0</v>
      </c>
      <c r="V559" s="9">
        <v>0</v>
      </c>
      <c r="W559" s="9">
        <v>1</v>
      </c>
      <c r="X559" s="1">
        <f t="shared" si="4"/>
        <v>9</v>
      </c>
    </row>
    <row r="560" spans="2:24" ht="13.2" x14ac:dyDescent="0.25">
      <c r="B560" s="109"/>
      <c r="C560" s="9">
        <v>2019</v>
      </c>
      <c r="D560" s="9">
        <v>1</v>
      </c>
      <c r="E560" s="9">
        <v>0</v>
      </c>
      <c r="F560" s="9">
        <v>0</v>
      </c>
      <c r="G560" s="9">
        <v>1</v>
      </c>
      <c r="H560" s="9">
        <v>1</v>
      </c>
      <c r="I560" s="9">
        <v>0</v>
      </c>
      <c r="J560" s="9">
        <v>0</v>
      </c>
      <c r="K560" s="9">
        <v>1</v>
      </c>
      <c r="L560" s="9">
        <v>1</v>
      </c>
      <c r="M560" s="9">
        <v>1</v>
      </c>
      <c r="N560" s="9">
        <v>1</v>
      </c>
      <c r="O560" s="9">
        <v>1</v>
      </c>
      <c r="P560" s="9">
        <v>0</v>
      </c>
      <c r="Q560" s="9">
        <v>1</v>
      </c>
      <c r="R560" s="9">
        <v>0</v>
      </c>
      <c r="S560" s="9">
        <v>1</v>
      </c>
      <c r="T560" s="9">
        <v>0</v>
      </c>
      <c r="U560" s="9">
        <v>0</v>
      </c>
      <c r="V560" s="9">
        <v>1</v>
      </c>
      <c r="W560" s="9">
        <v>1</v>
      </c>
      <c r="X560" s="1">
        <f t="shared" si="4"/>
        <v>12</v>
      </c>
    </row>
    <row r="561" spans="2:24" ht="13.2" x14ac:dyDescent="0.25">
      <c r="B561" s="109"/>
      <c r="C561" s="9">
        <v>2020</v>
      </c>
      <c r="D561" s="9">
        <v>0</v>
      </c>
      <c r="E561" s="9">
        <v>0</v>
      </c>
      <c r="F561" s="9">
        <v>0</v>
      </c>
      <c r="G561" s="9">
        <v>0</v>
      </c>
      <c r="H561" s="9">
        <v>0</v>
      </c>
      <c r="I561" s="9">
        <v>1</v>
      </c>
      <c r="J561" s="9">
        <v>1</v>
      </c>
      <c r="K561" s="9">
        <v>1</v>
      </c>
      <c r="L561" s="9">
        <v>1</v>
      </c>
      <c r="M561" s="9">
        <v>1</v>
      </c>
      <c r="N561" s="9">
        <v>1</v>
      </c>
      <c r="O561" s="9">
        <v>0</v>
      </c>
      <c r="P561" s="9">
        <v>1</v>
      </c>
      <c r="Q561" s="9">
        <v>1</v>
      </c>
      <c r="R561" s="9">
        <v>1</v>
      </c>
      <c r="S561" s="9">
        <v>0</v>
      </c>
      <c r="T561" s="9">
        <v>1</v>
      </c>
      <c r="U561" s="9">
        <v>0</v>
      </c>
      <c r="V561" s="9">
        <v>0</v>
      </c>
      <c r="W561" s="9">
        <v>0</v>
      </c>
      <c r="X561" s="1">
        <f t="shared" si="4"/>
        <v>10</v>
      </c>
    </row>
    <row r="562" spans="2:24" ht="13.2" x14ac:dyDescent="0.25">
      <c r="B562" s="109"/>
      <c r="C562" s="9">
        <v>2021</v>
      </c>
      <c r="D562" s="9">
        <v>0</v>
      </c>
      <c r="E562" s="9">
        <v>0</v>
      </c>
      <c r="F562" s="9">
        <v>0</v>
      </c>
      <c r="G562" s="9">
        <v>0</v>
      </c>
      <c r="H562" s="9">
        <v>0</v>
      </c>
      <c r="I562" s="9">
        <v>0</v>
      </c>
      <c r="J562" s="9">
        <v>0</v>
      </c>
      <c r="K562" s="9">
        <v>0</v>
      </c>
      <c r="L562" s="9">
        <v>1</v>
      </c>
      <c r="M562" s="9">
        <v>1</v>
      </c>
      <c r="N562" s="9">
        <v>1</v>
      </c>
      <c r="O562" s="9">
        <v>0</v>
      </c>
      <c r="P562" s="9">
        <v>1</v>
      </c>
      <c r="Q562" s="9">
        <v>1</v>
      </c>
      <c r="R562" s="9">
        <v>1</v>
      </c>
      <c r="S562" s="9">
        <v>1</v>
      </c>
      <c r="T562" s="9">
        <v>0</v>
      </c>
      <c r="U562" s="9">
        <v>1</v>
      </c>
      <c r="V562" s="9">
        <v>1</v>
      </c>
      <c r="W562" s="9">
        <v>1</v>
      </c>
      <c r="X562" s="1">
        <f t="shared" si="4"/>
        <v>10</v>
      </c>
    </row>
    <row r="563" spans="2:24" ht="13.2" x14ac:dyDescent="0.25">
      <c r="B563" s="113"/>
      <c r="C563" s="9">
        <v>2022</v>
      </c>
      <c r="D563" s="9">
        <v>1</v>
      </c>
      <c r="E563" s="9">
        <v>1</v>
      </c>
      <c r="F563" s="9">
        <v>1</v>
      </c>
      <c r="G563" s="9">
        <v>1</v>
      </c>
      <c r="H563" s="9">
        <v>1</v>
      </c>
      <c r="I563" s="9">
        <v>0</v>
      </c>
      <c r="J563" s="9">
        <v>0</v>
      </c>
      <c r="K563" s="9">
        <v>1</v>
      </c>
      <c r="L563" s="9">
        <v>0</v>
      </c>
      <c r="M563" s="9">
        <v>1</v>
      </c>
      <c r="N563" s="9">
        <v>1</v>
      </c>
      <c r="O563" s="9">
        <v>1</v>
      </c>
      <c r="P563" s="9">
        <v>0</v>
      </c>
      <c r="Q563" s="9">
        <v>0</v>
      </c>
      <c r="R563" s="9">
        <v>0</v>
      </c>
      <c r="S563" s="9">
        <v>0</v>
      </c>
      <c r="T563" s="9">
        <v>1</v>
      </c>
      <c r="U563" s="9">
        <v>0</v>
      </c>
      <c r="V563" s="9">
        <v>0</v>
      </c>
      <c r="W563" s="9">
        <v>0</v>
      </c>
      <c r="X563" s="1">
        <f t="shared" si="4"/>
        <v>10</v>
      </c>
    </row>
    <row r="564" spans="2:24" ht="13.2" x14ac:dyDescent="0.25">
      <c r="B564" s="2"/>
      <c r="C564" s="2"/>
      <c r="D564" s="2"/>
      <c r="E564" s="2"/>
      <c r="F564" s="2"/>
      <c r="G564" s="2"/>
      <c r="H564" s="2"/>
      <c r="I564" s="2"/>
      <c r="J564" s="2"/>
      <c r="K564" s="2"/>
      <c r="L564" s="2"/>
    </row>
    <row r="565" spans="2:24" ht="13.2" x14ac:dyDescent="0.25">
      <c r="B565" s="2"/>
      <c r="C565" s="2"/>
      <c r="D565" s="2"/>
      <c r="E565" s="2"/>
      <c r="F565" s="2"/>
      <c r="G565" s="2"/>
      <c r="H565" s="2"/>
      <c r="I565" s="2"/>
      <c r="J565" s="2"/>
      <c r="K565" s="2"/>
      <c r="L565" s="2"/>
    </row>
    <row r="566" spans="2:24" ht="13.2" x14ac:dyDescent="0.25">
      <c r="B566" s="2"/>
      <c r="C566" s="2"/>
      <c r="D566" s="2"/>
      <c r="E566" s="2"/>
      <c r="F566" s="2"/>
      <c r="G566" s="2"/>
      <c r="H566" s="2"/>
      <c r="I566" s="2"/>
      <c r="J566" s="2"/>
      <c r="K566" s="2"/>
      <c r="L566" s="2"/>
    </row>
    <row r="567" spans="2:24" ht="15.6" x14ac:dyDescent="0.25">
      <c r="B567" s="111" t="s">
        <v>6</v>
      </c>
      <c r="C567" s="107"/>
      <c r="D567" s="105" t="s">
        <v>188</v>
      </c>
      <c r="E567" s="106"/>
      <c r="F567" s="106"/>
      <c r="G567" s="106"/>
      <c r="H567" s="106"/>
      <c r="I567" s="106"/>
      <c r="J567" s="106"/>
      <c r="K567" s="106"/>
      <c r="L567" s="106"/>
      <c r="M567" s="106"/>
      <c r="N567" s="106"/>
      <c r="O567" s="106"/>
      <c r="P567" s="106"/>
      <c r="Q567" s="106"/>
      <c r="R567" s="106"/>
      <c r="S567" s="106"/>
      <c r="T567" s="106"/>
    </row>
    <row r="568" spans="2:24" ht="13.8" x14ac:dyDescent="0.25">
      <c r="B568" s="5" t="s">
        <v>6</v>
      </c>
      <c r="C568" s="5" t="s">
        <v>7</v>
      </c>
      <c r="D568" s="15" t="s">
        <v>12</v>
      </c>
      <c r="E568" s="15" t="s">
        <v>20</v>
      </c>
      <c r="F568" s="15" t="s">
        <v>24</v>
      </c>
      <c r="G568" s="15" t="s">
        <v>28</v>
      </c>
      <c r="H568" s="15" t="s">
        <v>32</v>
      </c>
      <c r="I568" s="15" t="s">
        <v>36</v>
      </c>
      <c r="J568" s="15" t="s">
        <v>41</v>
      </c>
      <c r="K568" s="15" t="s">
        <v>45</v>
      </c>
      <c r="L568" s="15" t="s">
        <v>49</v>
      </c>
      <c r="M568" s="15" t="s">
        <v>53</v>
      </c>
      <c r="N568" s="15" t="s">
        <v>57</v>
      </c>
      <c r="O568" s="15" t="s">
        <v>62</v>
      </c>
      <c r="P568" s="15" t="s">
        <v>66</v>
      </c>
      <c r="Q568" s="15" t="s">
        <v>70</v>
      </c>
      <c r="R568" s="15" t="s">
        <v>74</v>
      </c>
      <c r="S568" s="15" t="s">
        <v>78</v>
      </c>
      <c r="T568" s="15" t="s">
        <v>83</v>
      </c>
    </row>
    <row r="569" spans="2:24" ht="13.2" x14ac:dyDescent="0.25">
      <c r="B569" s="112" t="s">
        <v>18</v>
      </c>
      <c r="C569" s="9">
        <v>2018</v>
      </c>
      <c r="D569" s="9">
        <v>0</v>
      </c>
      <c r="E569" s="9">
        <v>1</v>
      </c>
      <c r="F569" s="9">
        <v>1</v>
      </c>
      <c r="G569" s="9">
        <v>0</v>
      </c>
      <c r="H569" s="9">
        <v>1</v>
      </c>
      <c r="I569" s="9">
        <v>1</v>
      </c>
      <c r="J569" s="9">
        <v>0</v>
      </c>
      <c r="K569" s="9">
        <v>1</v>
      </c>
      <c r="L569" s="9">
        <v>0</v>
      </c>
      <c r="M569" s="9">
        <v>0</v>
      </c>
      <c r="N569" s="9">
        <v>0</v>
      </c>
      <c r="O569" s="9">
        <v>0</v>
      </c>
      <c r="P569" s="9">
        <v>1</v>
      </c>
      <c r="Q569" s="9">
        <v>1</v>
      </c>
      <c r="R569" s="9">
        <v>0</v>
      </c>
      <c r="S569" s="9">
        <v>0</v>
      </c>
      <c r="T569" s="9">
        <v>1</v>
      </c>
      <c r="U569" s="1">
        <f t="shared" ref="U569:U698" si="5">SUM(D569:T569)</f>
        <v>8</v>
      </c>
    </row>
    <row r="570" spans="2:24" ht="13.2" x14ac:dyDescent="0.25">
      <c r="B570" s="109"/>
      <c r="C570" s="9">
        <v>2019</v>
      </c>
      <c r="D570" s="9">
        <v>1</v>
      </c>
      <c r="E570" s="9">
        <v>0</v>
      </c>
      <c r="F570" s="9">
        <v>1</v>
      </c>
      <c r="G570" s="9">
        <v>0</v>
      </c>
      <c r="H570" s="9">
        <v>1</v>
      </c>
      <c r="I570" s="9">
        <v>1</v>
      </c>
      <c r="J570" s="9">
        <v>0</v>
      </c>
      <c r="K570" s="9">
        <v>0</v>
      </c>
      <c r="L570" s="9">
        <v>1</v>
      </c>
      <c r="M570" s="9">
        <v>1</v>
      </c>
      <c r="N570" s="9">
        <v>1</v>
      </c>
      <c r="O570" s="9">
        <v>1</v>
      </c>
      <c r="P570" s="9">
        <v>1</v>
      </c>
      <c r="Q570" s="9">
        <v>0</v>
      </c>
      <c r="R570" s="9">
        <v>1</v>
      </c>
      <c r="S570" s="9">
        <v>0</v>
      </c>
      <c r="T570" s="9">
        <v>1</v>
      </c>
      <c r="U570" s="1">
        <f t="shared" si="5"/>
        <v>11</v>
      </c>
    </row>
    <row r="571" spans="2:24" ht="13.2" x14ac:dyDescent="0.25">
      <c r="B571" s="109"/>
      <c r="C571" s="9">
        <v>2020</v>
      </c>
      <c r="D571" s="9">
        <v>1</v>
      </c>
      <c r="E571" s="9">
        <v>1</v>
      </c>
      <c r="F571" s="9">
        <v>0</v>
      </c>
      <c r="G571" s="9">
        <v>0</v>
      </c>
      <c r="H571" s="9">
        <v>1</v>
      </c>
      <c r="I571" s="9">
        <v>0</v>
      </c>
      <c r="J571" s="9">
        <v>0</v>
      </c>
      <c r="K571" s="9">
        <v>0</v>
      </c>
      <c r="L571" s="9">
        <v>0</v>
      </c>
      <c r="M571" s="9">
        <v>0</v>
      </c>
      <c r="N571" s="9">
        <v>0</v>
      </c>
      <c r="O571" s="9">
        <v>0</v>
      </c>
      <c r="P571" s="9">
        <v>0</v>
      </c>
      <c r="Q571" s="9">
        <v>0</v>
      </c>
      <c r="R571" s="9">
        <v>1</v>
      </c>
      <c r="S571" s="9">
        <v>0</v>
      </c>
      <c r="T571" s="9">
        <v>1</v>
      </c>
      <c r="U571" s="1">
        <f t="shared" si="5"/>
        <v>5</v>
      </c>
    </row>
    <row r="572" spans="2:24" ht="13.2" x14ac:dyDescent="0.25">
      <c r="B572" s="109"/>
      <c r="C572" s="9">
        <v>2021</v>
      </c>
      <c r="D572" s="9">
        <v>1</v>
      </c>
      <c r="E572" s="9">
        <v>1</v>
      </c>
      <c r="F572" s="9">
        <v>0</v>
      </c>
      <c r="G572" s="9">
        <v>0</v>
      </c>
      <c r="H572" s="9">
        <v>0</v>
      </c>
      <c r="I572" s="9">
        <v>1</v>
      </c>
      <c r="J572" s="9">
        <v>0</v>
      </c>
      <c r="K572" s="9">
        <v>0</v>
      </c>
      <c r="L572" s="9">
        <v>1</v>
      </c>
      <c r="M572" s="9">
        <v>0</v>
      </c>
      <c r="N572" s="9">
        <v>0</v>
      </c>
      <c r="O572" s="9">
        <v>1</v>
      </c>
      <c r="P572" s="9">
        <v>0</v>
      </c>
      <c r="Q572" s="9">
        <v>1</v>
      </c>
      <c r="R572" s="9">
        <v>1</v>
      </c>
      <c r="S572" s="9">
        <v>0</v>
      </c>
      <c r="T572" s="9">
        <v>0</v>
      </c>
      <c r="U572" s="1">
        <f t="shared" si="5"/>
        <v>7</v>
      </c>
    </row>
    <row r="573" spans="2:24" ht="13.2" x14ac:dyDescent="0.25">
      <c r="B573" s="113"/>
      <c r="C573" s="9">
        <v>2022</v>
      </c>
      <c r="D573" s="9">
        <v>1</v>
      </c>
      <c r="E573" s="9">
        <v>1</v>
      </c>
      <c r="F573" s="9">
        <v>1</v>
      </c>
      <c r="G573" s="9">
        <v>1</v>
      </c>
      <c r="H573" s="9">
        <v>1</v>
      </c>
      <c r="I573" s="9">
        <v>0</v>
      </c>
      <c r="J573" s="9">
        <v>1</v>
      </c>
      <c r="K573" s="9">
        <v>0</v>
      </c>
      <c r="L573" s="9">
        <v>1</v>
      </c>
      <c r="M573" s="9">
        <v>0</v>
      </c>
      <c r="N573" s="9">
        <v>1</v>
      </c>
      <c r="O573" s="9">
        <v>0</v>
      </c>
      <c r="P573" s="9">
        <v>0</v>
      </c>
      <c r="Q573" s="9">
        <v>0</v>
      </c>
      <c r="R573" s="9">
        <v>0</v>
      </c>
      <c r="S573" s="9">
        <v>1</v>
      </c>
      <c r="T573" s="9">
        <v>0</v>
      </c>
      <c r="U573" s="1">
        <f t="shared" si="5"/>
        <v>9</v>
      </c>
    </row>
    <row r="574" spans="2:24" ht="13.2" x14ac:dyDescent="0.25">
      <c r="B574" s="112" t="s">
        <v>39</v>
      </c>
      <c r="C574" s="9">
        <v>2018</v>
      </c>
      <c r="D574" s="9">
        <v>1</v>
      </c>
      <c r="E574" s="9">
        <v>1</v>
      </c>
      <c r="F574" s="9">
        <v>0</v>
      </c>
      <c r="G574" s="9">
        <v>1</v>
      </c>
      <c r="H574" s="9">
        <v>1</v>
      </c>
      <c r="I574" s="9">
        <v>0</v>
      </c>
      <c r="J574" s="9">
        <v>1</v>
      </c>
      <c r="K574" s="9">
        <v>1</v>
      </c>
      <c r="L574" s="9">
        <v>1</v>
      </c>
      <c r="M574" s="9">
        <v>0</v>
      </c>
      <c r="N574" s="9">
        <v>0</v>
      </c>
      <c r="O574" s="9">
        <v>1</v>
      </c>
      <c r="P574" s="9">
        <v>1</v>
      </c>
      <c r="Q574" s="9">
        <v>0</v>
      </c>
      <c r="R574" s="9">
        <v>1</v>
      </c>
      <c r="S574" s="9">
        <v>0</v>
      </c>
      <c r="T574" s="9">
        <v>1</v>
      </c>
      <c r="U574" s="1">
        <f t="shared" si="5"/>
        <v>11</v>
      </c>
    </row>
    <row r="575" spans="2:24" ht="13.2" x14ac:dyDescent="0.25">
      <c r="B575" s="109"/>
      <c r="C575" s="9">
        <v>2019</v>
      </c>
      <c r="D575" s="9">
        <v>0</v>
      </c>
      <c r="E575" s="9">
        <v>1</v>
      </c>
      <c r="F575" s="9">
        <v>0</v>
      </c>
      <c r="G575" s="9">
        <v>1</v>
      </c>
      <c r="H575" s="9">
        <v>1</v>
      </c>
      <c r="I575" s="9">
        <v>1</v>
      </c>
      <c r="J575" s="9">
        <v>1</v>
      </c>
      <c r="K575" s="9">
        <v>1</v>
      </c>
      <c r="L575" s="9">
        <v>0</v>
      </c>
      <c r="M575" s="9">
        <v>0</v>
      </c>
      <c r="N575" s="9">
        <v>1</v>
      </c>
      <c r="O575" s="9">
        <v>0</v>
      </c>
      <c r="P575" s="9">
        <v>1</v>
      </c>
      <c r="Q575" s="9">
        <v>0</v>
      </c>
      <c r="R575" s="9">
        <v>0</v>
      </c>
      <c r="S575" s="9">
        <v>0</v>
      </c>
      <c r="T575" s="9">
        <v>1</v>
      </c>
      <c r="U575" s="1">
        <f t="shared" si="5"/>
        <v>9</v>
      </c>
    </row>
    <row r="576" spans="2:24" ht="13.2" x14ac:dyDescent="0.25">
      <c r="B576" s="109"/>
      <c r="C576" s="9">
        <v>2020</v>
      </c>
      <c r="D576" s="9">
        <v>0</v>
      </c>
      <c r="E576" s="9">
        <v>0</v>
      </c>
      <c r="F576" s="9">
        <v>1</v>
      </c>
      <c r="G576" s="9">
        <v>1</v>
      </c>
      <c r="H576" s="9">
        <v>1</v>
      </c>
      <c r="I576" s="9">
        <v>1</v>
      </c>
      <c r="J576" s="9">
        <v>0</v>
      </c>
      <c r="K576" s="9">
        <v>0</v>
      </c>
      <c r="L576" s="9">
        <v>1</v>
      </c>
      <c r="M576" s="9">
        <v>0</v>
      </c>
      <c r="N576" s="9">
        <v>0</v>
      </c>
      <c r="O576" s="9">
        <v>1</v>
      </c>
      <c r="P576" s="9">
        <v>0</v>
      </c>
      <c r="Q576" s="9">
        <v>0</v>
      </c>
      <c r="R576" s="9">
        <v>0</v>
      </c>
      <c r="S576" s="9">
        <v>1</v>
      </c>
      <c r="T576" s="9">
        <v>0</v>
      </c>
      <c r="U576" s="1">
        <f t="shared" si="5"/>
        <v>7</v>
      </c>
    </row>
    <row r="577" spans="2:21" ht="13.2" x14ac:dyDescent="0.25">
      <c r="B577" s="109"/>
      <c r="C577" s="9">
        <v>2021</v>
      </c>
      <c r="D577" s="9">
        <v>0</v>
      </c>
      <c r="E577" s="9">
        <v>0</v>
      </c>
      <c r="F577" s="9">
        <v>1</v>
      </c>
      <c r="G577" s="9">
        <v>0</v>
      </c>
      <c r="H577" s="9">
        <v>0</v>
      </c>
      <c r="I577" s="9">
        <v>1</v>
      </c>
      <c r="J577" s="9">
        <v>0</v>
      </c>
      <c r="K577" s="9">
        <v>0</v>
      </c>
      <c r="L577" s="9">
        <v>1</v>
      </c>
      <c r="M577" s="9">
        <v>0</v>
      </c>
      <c r="N577" s="9">
        <v>1</v>
      </c>
      <c r="O577" s="9">
        <v>1</v>
      </c>
      <c r="P577" s="9">
        <v>0</v>
      </c>
      <c r="Q577" s="9">
        <v>0</v>
      </c>
      <c r="R577" s="9">
        <v>0</v>
      </c>
      <c r="S577" s="9">
        <v>1</v>
      </c>
      <c r="T577" s="9">
        <v>1</v>
      </c>
      <c r="U577" s="1">
        <f t="shared" si="5"/>
        <v>7</v>
      </c>
    </row>
    <row r="578" spans="2:21" ht="13.2" x14ac:dyDescent="0.25">
      <c r="B578" s="113"/>
      <c r="C578" s="9">
        <v>2022</v>
      </c>
      <c r="D578" s="9">
        <v>1</v>
      </c>
      <c r="E578" s="9">
        <v>1</v>
      </c>
      <c r="F578" s="9">
        <v>0</v>
      </c>
      <c r="G578" s="9">
        <v>0</v>
      </c>
      <c r="H578" s="9">
        <v>0</v>
      </c>
      <c r="I578" s="9">
        <v>0</v>
      </c>
      <c r="J578" s="9">
        <v>0</v>
      </c>
      <c r="K578" s="9">
        <v>1</v>
      </c>
      <c r="L578" s="9">
        <v>1</v>
      </c>
      <c r="M578" s="9">
        <v>0</v>
      </c>
      <c r="N578" s="9">
        <v>1</v>
      </c>
      <c r="O578" s="9">
        <v>1</v>
      </c>
      <c r="P578" s="9">
        <v>0</v>
      </c>
      <c r="Q578" s="9">
        <v>1</v>
      </c>
      <c r="R578" s="9">
        <v>1</v>
      </c>
      <c r="S578" s="9">
        <v>0</v>
      </c>
      <c r="T578" s="9">
        <v>0</v>
      </c>
      <c r="U578" s="1">
        <f t="shared" si="5"/>
        <v>8</v>
      </c>
    </row>
    <row r="579" spans="2:21" ht="13.2" x14ac:dyDescent="0.25">
      <c r="B579" s="112" t="s">
        <v>60</v>
      </c>
      <c r="C579" s="9">
        <v>2018</v>
      </c>
      <c r="D579" s="9">
        <v>0</v>
      </c>
      <c r="E579" s="9">
        <v>1</v>
      </c>
      <c r="F579" s="9">
        <v>0</v>
      </c>
      <c r="G579" s="9">
        <v>1</v>
      </c>
      <c r="H579" s="9">
        <v>0</v>
      </c>
      <c r="I579" s="9">
        <v>0</v>
      </c>
      <c r="J579" s="9">
        <v>0</v>
      </c>
      <c r="K579" s="9">
        <v>1</v>
      </c>
      <c r="L579" s="9">
        <v>1</v>
      </c>
      <c r="M579" s="9">
        <v>1</v>
      </c>
      <c r="N579" s="9">
        <v>1</v>
      </c>
      <c r="O579" s="9">
        <v>1</v>
      </c>
      <c r="P579" s="9">
        <v>1</v>
      </c>
      <c r="Q579" s="9">
        <v>1</v>
      </c>
      <c r="R579" s="9">
        <v>0</v>
      </c>
      <c r="S579" s="9">
        <v>1</v>
      </c>
      <c r="T579" s="9">
        <v>1</v>
      </c>
      <c r="U579" s="1">
        <f t="shared" si="5"/>
        <v>11</v>
      </c>
    </row>
    <row r="580" spans="2:21" ht="13.2" x14ac:dyDescent="0.25">
      <c r="B580" s="109"/>
      <c r="C580" s="9">
        <v>2019</v>
      </c>
      <c r="D580" s="9">
        <v>0</v>
      </c>
      <c r="E580" s="9">
        <v>0</v>
      </c>
      <c r="F580" s="9">
        <v>0</v>
      </c>
      <c r="G580" s="9">
        <v>0</v>
      </c>
      <c r="H580" s="9">
        <v>1</v>
      </c>
      <c r="I580" s="9">
        <v>1</v>
      </c>
      <c r="J580" s="9">
        <v>0</v>
      </c>
      <c r="K580" s="9">
        <v>1</v>
      </c>
      <c r="L580" s="9">
        <v>1</v>
      </c>
      <c r="M580" s="9">
        <v>1</v>
      </c>
      <c r="N580" s="9">
        <v>1</v>
      </c>
      <c r="O580" s="9">
        <v>0</v>
      </c>
      <c r="P580" s="9">
        <v>0</v>
      </c>
      <c r="Q580" s="9">
        <v>0</v>
      </c>
      <c r="R580" s="9">
        <v>0</v>
      </c>
      <c r="S580" s="9">
        <v>0</v>
      </c>
      <c r="T580" s="9">
        <v>1</v>
      </c>
      <c r="U580" s="1">
        <f t="shared" si="5"/>
        <v>7</v>
      </c>
    </row>
    <row r="581" spans="2:21" ht="13.2" x14ac:dyDescent="0.25">
      <c r="B581" s="109"/>
      <c r="C581" s="9">
        <v>2020</v>
      </c>
      <c r="D581" s="9">
        <v>1</v>
      </c>
      <c r="E581" s="9">
        <v>0</v>
      </c>
      <c r="F581" s="9">
        <v>1</v>
      </c>
      <c r="G581" s="9">
        <v>0</v>
      </c>
      <c r="H581" s="9">
        <v>1</v>
      </c>
      <c r="I581" s="9">
        <v>1</v>
      </c>
      <c r="J581" s="9">
        <v>0</v>
      </c>
      <c r="K581" s="9">
        <v>0</v>
      </c>
      <c r="L581" s="9">
        <v>0</v>
      </c>
      <c r="M581" s="9">
        <v>0</v>
      </c>
      <c r="N581" s="9">
        <v>0</v>
      </c>
      <c r="O581" s="9">
        <v>0</v>
      </c>
      <c r="P581" s="9">
        <v>0</v>
      </c>
      <c r="Q581" s="9">
        <v>0</v>
      </c>
      <c r="R581" s="9">
        <v>1</v>
      </c>
      <c r="S581" s="9">
        <v>1</v>
      </c>
      <c r="T581" s="9">
        <v>1</v>
      </c>
      <c r="U581" s="1">
        <f t="shared" si="5"/>
        <v>7</v>
      </c>
    </row>
    <row r="582" spans="2:21" ht="13.2" x14ac:dyDescent="0.25">
      <c r="B582" s="109"/>
      <c r="C582" s="9">
        <v>2021</v>
      </c>
      <c r="D582" s="9">
        <v>1</v>
      </c>
      <c r="E582" s="9">
        <v>1</v>
      </c>
      <c r="F582" s="9">
        <v>0</v>
      </c>
      <c r="G582" s="9">
        <v>1</v>
      </c>
      <c r="H582" s="9">
        <v>0</v>
      </c>
      <c r="I582" s="9">
        <v>1</v>
      </c>
      <c r="J582" s="9">
        <v>0</v>
      </c>
      <c r="K582" s="9">
        <v>1</v>
      </c>
      <c r="L582" s="9">
        <v>1</v>
      </c>
      <c r="M582" s="9">
        <v>0</v>
      </c>
      <c r="N582" s="9">
        <v>0</v>
      </c>
      <c r="O582" s="9">
        <v>0</v>
      </c>
      <c r="P582" s="9">
        <v>1</v>
      </c>
      <c r="Q582" s="9">
        <v>0</v>
      </c>
      <c r="R582" s="9">
        <v>0</v>
      </c>
      <c r="S582" s="9">
        <v>0</v>
      </c>
      <c r="T582" s="9">
        <v>1</v>
      </c>
      <c r="U582" s="1">
        <f t="shared" si="5"/>
        <v>8</v>
      </c>
    </row>
    <row r="583" spans="2:21" ht="13.2" x14ac:dyDescent="0.25">
      <c r="B583" s="113"/>
      <c r="C583" s="9">
        <v>2022</v>
      </c>
      <c r="D583" s="9">
        <v>0</v>
      </c>
      <c r="E583" s="9">
        <v>1</v>
      </c>
      <c r="F583" s="9">
        <v>0</v>
      </c>
      <c r="G583" s="9">
        <v>1</v>
      </c>
      <c r="H583" s="9">
        <v>1</v>
      </c>
      <c r="I583" s="9">
        <v>0</v>
      </c>
      <c r="J583" s="9">
        <v>0</v>
      </c>
      <c r="K583" s="9">
        <v>1</v>
      </c>
      <c r="L583" s="9">
        <v>0</v>
      </c>
      <c r="M583" s="9">
        <v>1</v>
      </c>
      <c r="N583" s="9">
        <v>1</v>
      </c>
      <c r="O583" s="9">
        <v>1</v>
      </c>
      <c r="P583" s="9">
        <v>1</v>
      </c>
      <c r="Q583" s="9">
        <v>1</v>
      </c>
      <c r="R583" s="9">
        <v>0</v>
      </c>
      <c r="S583" s="9">
        <v>1</v>
      </c>
      <c r="T583" s="9">
        <v>1</v>
      </c>
      <c r="U583" s="1">
        <f t="shared" si="5"/>
        <v>11</v>
      </c>
    </row>
    <row r="584" spans="2:21" ht="13.2" x14ac:dyDescent="0.25">
      <c r="B584" s="112" t="s">
        <v>81</v>
      </c>
      <c r="C584" s="9">
        <v>2018</v>
      </c>
      <c r="D584" s="9">
        <v>0</v>
      </c>
      <c r="E584" s="9">
        <v>0</v>
      </c>
      <c r="F584" s="9">
        <v>1</v>
      </c>
      <c r="G584" s="9">
        <v>1</v>
      </c>
      <c r="H584" s="9">
        <v>0</v>
      </c>
      <c r="I584" s="9">
        <v>1</v>
      </c>
      <c r="J584" s="9">
        <v>1</v>
      </c>
      <c r="K584" s="9">
        <v>1</v>
      </c>
      <c r="L584" s="9">
        <v>1</v>
      </c>
      <c r="M584" s="9">
        <v>1</v>
      </c>
      <c r="N584" s="9">
        <v>0</v>
      </c>
      <c r="O584" s="9">
        <v>0</v>
      </c>
      <c r="P584" s="9">
        <v>1</v>
      </c>
      <c r="Q584" s="9">
        <v>0</v>
      </c>
      <c r="R584" s="9">
        <v>0</v>
      </c>
      <c r="S584" s="9">
        <v>0</v>
      </c>
      <c r="T584" s="9">
        <v>0</v>
      </c>
      <c r="U584" s="1">
        <f t="shared" si="5"/>
        <v>8</v>
      </c>
    </row>
    <row r="585" spans="2:21" ht="13.2" x14ac:dyDescent="0.25">
      <c r="B585" s="109"/>
      <c r="C585" s="9">
        <v>2019</v>
      </c>
      <c r="D585" s="9">
        <v>1</v>
      </c>
      <c r="E585" s="9">
        <v>1</v>
      </c>
      <c r="F585" s="9">
        <v>1</v>
      </c>
      <c r="G585" s="9">
        <v>0</v>
      </c>
      <c r="H585" s="9">
        <v>0</v>
      </c>
      <c r="I585" s="9">
        <v>0</v>
      </c>
      <c r="J585" s="9">
        <v>1</v>
      </c>
      <c r="K585" s="9">
        <v>1</v>
      </c>
      <c r="L585" s="9">
        <v>0</v>
      </c>
      <c r="M585" s="9">
        <v>1</v>
      </c>
      <c r="N585" s="9">
        <v>1</v>
      </c>
      <c r="O585" s="9">
        <v>1</v>
      </c>
      <c r="P585" s="9">
        <v>0</v>
      </c>
      <c r="Q585" s="9">
        <v>0</v>
      </c>
      <c r="R585" s="9">
        <v>1</v>
      </c>
      <c r="S585" s="9">
        <v>1</v>
      </c>
      <c r="T585" s="9">
        <v>0</v>
      </c>
      <c r="U585" s="1">
        <f t="shared" si="5"/>
        <v>10</v>
      </c>
    </row>
    <row r="586" spans="2:21" ht="13.2" x14ac:dyDescent="0.25">
      <c r="B586" s="109"/>
      <c r="C586" s="9">
        <v>2020</v>
      </c>
      <c r="D586" s="9">
        <v>0</v>
      </c>
      <c r="E586" s="9">
        <v>0</v>
      </c>
      <c r="F586" s="9">
        <v>0</v>
      </c>
      <c r="G586" s="9">
        <v>1</v>
      </c>
      <c r="H586" s="9">
        <v>1</v>
      </c>
      <c r="I586" s="9">
        <v>1</v>
      </c>
      <c r="J586" s="9">
        <v>1</v>
      </c>
      <c r="K586" s="9">
        <v>1</v>
      </c>
      <c r="L586" s="9">
        <v>0</v>
      </c>
      <c r="M586" s="9">
        <v>0</v>
      </c>
      <c r="N586" s="9">
        <v>0</v>
      </c>
      <c r="O586" s="9">
        <v>0</v>
      </c>
      <c r="P586" s="9">
        <v>0</v>
      </c>
      <c r="Q586" s="9">
        <v>1</v>
      </c>
      <c r="R586" s="9">
        <v>0</v>
      </c>
      <c r="S586" s="9">
        <v>0</v>
      </c>
      <c r="T586" s="9">
        <v>0</v>
      </c>
      <c r="U586" s="1">
        <f t="shared" si="5"/>
        <v>6</v>
      </c>
    </row>
    <row r="587" spans="2:21" ht="13.2" x14ac:dyDescent="0.25">
      <c r="B587" s="109"/>
      <c r="C587" s="9">
        <v>2021</v>
      </c>
      <c r="D587" s="9">
        <v>0</v>
      </c>
      <c r="E587" s="9">
        <v>1</v>
      </c>
      <c r="F587" s="9">
        <v>0</v>
      </c>
      <c r="G587" s="9">
        <v>0</v>
      </c>
      <c r="H587" s="9">
        <v>0</v>
      </c>
      <c r="I587" s="9">
        <v>0</v>
      </c>
      <c r="J587" s="9">
        <v>0</v>
      </c>
      <c r="K587" s="9">
        <v>0</v>
      </c>
      <c r="L587" s="9">
        <v>1</v>
      </c>
      <c r="M587" s="9">
        <v>0</v>
      </c>
      <c r="N587" s="9">
        <v>1</v>
      </c>
      <c r="O587" s="9">
        <v>1</v>
      </c>
      <c r="P587" s="9">
        <v>1</v>
      </c>
      <c r="Q587" s="9">
        <v>1</v>
      </c>
      <c r="R587" s="9">
        <v>1</v>
      </c>
      <c r="S587" s="9">
        <v>0</v>
      </c>
      <c r="T587" s="9">
        <v>1</v>
      </c>
      <c r="U587" s="1">
        <f t="shared" si="5"/>
        <v>8</v>
      </c>
    </row>
    <row r="588" spans="2:21" ht="13.2" x14ac:dyDescent="0.25">
      <c r="B588" s="113"/>
      <c r="C588" s="9">
        <v>2022</v>
      </c>
      <c r="D588" s="9">
        <v>0</v>
      </c>
      <c r="E588" s="9">
        <v>1</v>
      </c>
      <c r="F588" s="9">
        <v>0</v>
      </c>
      <c r="G588" s="9">
        <v>0</v>
      </c>
      <c r="H588" s="9">
        <v>0</v>
      </c>
      <c r="I588" s="9">
        <v>1</v>
      </c>
      <c r="J588" s="9">
        <v>1</v>
      </c>
      <c r="K588" s="9">
        <v>1</v>
      </c>
      <c r="L588" s="9">
        <v>1</v>
      </c>
      <c r="M588" s="9">
        <v>1</v>
      </c>
      <c r="N588" s="9">
        <v>0</v>
      </c>
      <c r="O588" s="9">
        <v>0</v>
      </c>
      <c r="P588" s="9">
        <v>1</v>
      </c>
      <c r="Q588" s="9">
        <v>1</v>
      </c>
      <c r="R588" s="9">
        <v>0</v>
      </c>
      <c r="S588" s="9">
        <v>0</v>
      </c>
      <c r="T588" s="9">
        <v>0</v>
      </c>
      <c r="U588" s="1">
        <f t="shared" si="5"/>
        <v>8</v>
      </c>
    </row>
    <row r="589" spans="2:21" ht="13.2" x14ac:dyDescent="0.25">
      <c r="B589" s="112" t="s">
        <v>98</v>
      </c>
      <c r="C589" s="9">
        <v>2018</v>
      </c>
      <c r="D589" s="9">
        <v>1</v>
      </c>
      <c r="E589" s="9">
        <v>0</v>
      </c>
      <c r="F589" s="9">
        <v>0</v>
      </c>
      <c r="G589" s="9">
        <v>1</v>
      </c>
      <c r="H589" s="9">
        <v>0</v>
      </c>
      <c r="I589" s="9">
        <v>0</v>
      </c>
      <c r="J589" s="9">
        <v>1</v>
      </c>
      <c r="K589" s="9">
        <v>0</v>
      </c>
      <c r="L589" s="9">
        <v>1</v>
      </c>
      <c r="M589" s="9">
        <v>1</v>
      </c>
      <c r="N589" s="9">
        <v>0</v>
      </c>
      <c r="O589" s="9">
        <v>1</v>
      </c>
      <c r="P589" s="9">
        <v>1</v>
      </c>
      <c r="Q589" s="9">
        <v>0</v>
      </c>
      <c r="R589" s="9">
        <v>0</v>
      </c>
      <c r="S589" s="9">
        <v>1</v>
      </c>
      <c r="T589" s="9">
        <v>1</v>
      </c>
      <c r="U589" s="1">
        <f t="shared" si="5"/>
        <v>9</v>
      </c>
    </row>
    <row r="590" spans="2:21" ht="13.2" x14ac:dyDescent="0.25">
      <c r="B590" s="109"/>
      <c r="C590" s="9">
        <v>2019</v>
      </c>
      <c r="D590" s="9">
        <v>1</v>
      </c>
      <c r="E590" s="9">
        <v>0</v>
      </c>
      <c r="F590" s="9">
        <v>1</v>
      </c>
      <c r="G590" s="9">
        <v>1</v>
      </c>
      <c r="H590" s="9">
        <v>1</v>
      </c>
      <c r="I590" s="9">
        <v>1</v>
      </c>
      <c r="J590" s="9">
        <v>0</v>
      </c>
      <c r="K590" s="9">
        <v>0</v>
      </c>
      <c r="L590" s="9">
        <v>0</v>
      </c>
      <c r="M590" s="9">
        <v>1</v>
      </c>
      <c r="N590" s="9">
        <v>0</v>
      </c>
      <c r="O590" s="9">
        <v>0</v>
      </c>
      <c r="P590" s="9">
        <v>0</v>
      </c>
      <c r="Q590" s="9">
        <v>0</v>
      </c>
      <c r="R590" s="9">
        <v>0</v>
      </c>
      <c r="S590" s="9">
        <v>1</v>
      </c>
      <c r="T590" s="9">
        <v>1</v>
      </c>
      <c r="U590" s="1">
        <f t="shared" si="5"/>
        <v>8</v>
      </c>
    </row>
    <row r="591" spans="2:21" ht="13.2" x14ac:dyDescent="0.25">
      <c r="B591" s="109"/>
      <c r="C591" s="9">
        <v>2020</v>
      </c>
      <c r="D591" s="9">
        <v>1</v>
      </c>
      <c r="E591" s="9">
        <v>1</v>
      </c>
      <c r="F591" s="9">
        <v>1</v>
      </c>
      <c r="G591" s="9">
        <v>0</v>
      </c>
      <c r="H591" s="9">
        <v>1</v>
      </c>
      <c r="I591" s="9">
        <v>1</v>
      </c>
      <c r="J591" s="9">
        <v>0</v>
      </c>
      <c r="K591" s="9">
        <v>0</v>
      </c>
      <c r="L591" s="9">
        <v>1</v>
      </c>
      <c r="M591" s="9">
        <v>0</v>
      </c>
      <c r="N591" s="9">
        <v>1</v>
      </c>
      <c r="O591" s="9">
        <v>0</v>
      </c>
      <c r="P591" s="9">
        <v>0</v>
      </c>
      <c r="Q591" s="9">
        <v>1</v>
      </c>
      <c r="R591" s="9">
        <v>1</v>
      </c>
      <c r="S591" s="9">
        <v>0</v>
      </c>
      <c r="T591" s="9">
        <v>1</v>
      </c>
      <c r="U591" s="1">
        <f t="shared" si="5"/>
        <v>10</v>
      </c>
    </row>
    <row r="592" spans="2:21" ht="13.2" x14ac:dyDescent="0.25">
      <c r="B592" s="109"/>
      <c r="C592" s="9">
        <v>2021</v>
      </c>
      <c r="D592" s="9">
        <v>1</v>
      </c>
      <c r="E592" s="9">
        <v>1</v>
      </c>
      <c r="F592" s="9">
        <v>1</v>
      </c>
      <c r="G592" s="9">
        <v>1</v>
      </c>
      <c r="H592" s="9">
        <v>1</v>
      </c>
      <c r="I592" s="9">
        <v>0</v>
      </c>
      <c r="J592" s="9">
        <v>1</v>
      </c>
      <c r="K592" s="9">
        <v>0</v>
      </c>
      <c r="L592" s="9">
        <v>0</v>
      </c>
      <c r="M592" s="9">
        <v>0</v>
      </c>
      <c r="N592" s="9">
        <v>1</v>
      </c>
      <c r="O592" s="9">
        <v>1</v>
      </c>
      <c r="P592" s="9">
        <v>0</v>
      </c>
      <c r="Q592" s="9">
        <v>1</v>
      </c>
      <c r="R592" s="9">
        <v>0</v>
      </c>
      <c r="S592" s="9">
        <v>1</v>
      </c>
      <c r="T592" s="9">
        <v>0</v>
      </c>
      <c r="U592" s="1">
        <f t="shared" si="5"/>
        <v>10</v>
      </c>
    </row>
    <row r="593" spans="2:21" ht="13.2" x14ac:dyDescent="0.25">
      <c r="B593" s="113"/>
      <c r="C593" s="9">
        <v>2022</v>
      </c>
      <c r="D593" s="9">
        <v>0</v>
      </c>
      <c r="E593" s="9">
        <v>1</v>
      </c>
      <c r="F593" s="9">
        <v>1</v>
      </c>
      <c r="G593" s="9">
        <v>1</v>
      </c>
      <c r="H593" s="9">
        <v>0</v>
      </c>
      <c r="I593" s="9">
        <v>1</v>
      </c>
      <c r="J593" s="9">
        <v>0</v>
      </c>
      <c r="K593" s="9">
        <v>1</v>
      </c>
      <c r="L593" s="9">
        <v>1</v>
      </c>
      <c r="M593" s="9">
        <v>0</v>
      </c>
      <c r="N593" s="9">
        <v>0</v>
      </c>
      <c r="O593" s="9">
        <v>0</v>
      </c>
      <c r="P593" s="9">
        <v>1</v>
      </c>
      <c r="Q593" s="9">
        <v>0</v>
      </c>
      <c r="R593" s="9">
        <v>0</v>
      </c>
      <c r="S593" s="9">
        <v>0</v>
      </c>
      <c r="T593" s="9">
        <v>1</v>
      </c>
      <c r="U593" s="1">
        <f t="shared" si="5"/>
        <v>8</v>
      </c>
    </row>
    <row r="594" spans="2:21" ht="13.2" x14ac:dyDescent="0.25">
      <c r="B594" s="112" t="s">
        <v>114</v>
      </c>
      <c r="C594" s="9">
        <v>2018</v>
      </c>
      <c r="D594" s="9">
        <v>0</v>
      </c>
      <c r="E594" s="9">
        <v>0</v>
      </c>
      <c r="F594" s="9">
        <v>1</v>
      </c>
      <c r="G594" s="9">
        <v>1</v>
      </c>
      <c r="H594" s="9">
        <v>1</v>
      </c>
      <c r="I594" s="9">
        <v>0</v>
      </c>
      <c r="J594" s="9">
        <v>1</v>
      </c>
      <c r="K594" s="9">
        <v>1</v>
      </c>
      <c r="L594" s="9">
        <v>1</v>
      </c>
      <c r="M594" s="9">
        <v>1</v>
      </c>
      <c r="N594" s="9">
        <v>0</v>
      </c>
      <c r="O594" s="9">
        <v>1</v>
      </c>
      <c r="P594" s="9">
        <v>0</v>
      </c>
      <c r="Q594" s="9">
        <v>1</v>
      </c>
      <c r="R594" s="9">
        <v>1</v>
      </c>
      <c r="S594" s="9">
        <v>1</v>
      </c>
      <c r="T594" s="9">
        <v>0</v>
      </c>
      <c r="U594" s="1">
        <f t="shared" si="5"/>
        <v>11</v>
      </c>
    </row>
    <row r="595" spans="2:21" ht="13.2" x14ac:dyDescent="0.25">
      <c r="B595" s="109"/>
      <c r="C595" s="9">
        <v>2019</v>
      </c>
      <c r="D595" s="9">
        <v>1</v>
      </c>
      <c r="E595" s="9">
        <v>1</v>
      </c>
      <c r="F595" s="9">
        <v>1</v>
      </c>
      <c r="G595" s="9">
        <v>0</v>
      </c>
      <c r="H595" s="9">
        <v>0</v>
      </c>
      <c r="I595" s="9">
        <v>0</v>
      </c>
      <c r="J595" s="9">
        <v>1</v>
      </c>
      <c r="K595" s="9">
        <v>0</v>
      </c>
      <c r="L595" s="9">
        <v>0</v>
      </c>
      <c r="M595" s="9">
        <v>1</v>
      </c>
      <c r="N595" s="9">
        <v>1</v>
      </c>
      <c r="O595" s="9">
        <v>1</v>
      </c>
      <c r="P595" s="9">
        <v>0</v>
      </c>
      <c r="Q595" s="9">
        <v>1</v>
      </c>
      <c r="R595" s="9">
        <v>0</v>
      </c>
      <c r="S595" s="9">
        <v>0</v>
      </c>
      <c r="T595" s="9">
        <v>0</v>
      </c>
      <c r="U595" s="1">
        <f t="shared" si="5"/>
        <v>8</v>
      </c>
    </row>
    <row r="596" spans="2:21" ht="13.2" x14ac:dyDescent="0.25">
      <c r="B596" s="109"/>
      <c r="C596" s="9">
        <v>2020</v>
      </c>
      <c r="D596" s="9">
        <v>1</v>
      </c>
      <c r="E596" s="9">
        <v>0</v>
      </c>
      <c r="F596" s="9">
        <v>0</v>
      </c>
      <c r="G596" s="9">
        <v>1</v>
      </c>
      <c r="H596" s="9">
        <v>1</v>
      </c>
      <c r="I596" s="9">
        <v>1</v>
      </c>
      <c r="J596" s="9">
        <v>1</v>
      </c>
      <c r="K596" s="9">
        <v>0</v>
      </c>
      <c r="L596" s="9">
        <v>1</v>
      </c>
      <c r="M596" s="9">
        <v>1</v>
      </c>
      <c r="N596" s="9">
        <v>0</v>
      </c>
      <c r="O596" s="9">
        <v>0</v>
      </c>
      <c r="P596" s="9">
        <v>0</v>
      </c>
      <c r="Q596" s="9">
        <v>0</v>
      </c>
      <c r="R596" s="9">
        <v>0</v>
      </c>
      <c r="S596" s="9">
        <v>1</v>
      </c>
      <c r="T596" s="9">
        <v>1</v>
      </c>
      <c r="U596" s="1">
        <f t="shared" si="5"/>
        <v>9</v>
      </c>
    </row>
    <row r="597" spans="2:21" ht="13.2" x14ac:dyDescent="0.25">
      <c r="B597" s="109"/>
      <c r="C597" s="9">
        <v>2021</v>
      </c>
      <c r="D597" s="9">
        <v>1</v>
      </c>
      <c r="E597" s="9">
        <v>0</v>
      </c>
      <c r="F597" s="9">
        <v>1</v>
      </c>
      <c r="G597" s="9">
        <v>1</v>
      </c>
      <c r="H597" s="9">
        <v>1</v>
      </c>
      <c r="I597" s="9">
        <v>0</v>
      </c>
      <c r="J597" s="9">
        <v>0</v>
      </c>
      <c r="K597" s="9">
        <v>0</v>
      </c>
      <c r="L597" s="9">
        <v>0</v>
      </c>
      <c r="M597" s="9">
        <v>0</v>
      </c>
      <c r="N597" s="9">
        <v>0</v>
      </c>
      <c r="O597" s="9">
        <v>0</v>
      </c>
      <c r="P597" s="9">
        <v>1</v>
      </c>
      <c r="Q597" s="9">
        <v>1</v>
      </c>
      <c r="R597" s="9">
        <v>0</v>
      </c>
      <c r="S597" s="9">
        <v>1</v>
      </c>
      <c r="T597" s="9">
        <v>0</v>
      </c>
      <c r="U597" s="1">
        <f t="shared" si="5"/>
        <v>7</v>
      </c>
    </row>
    <row r="598" spans="2:21" ht="13.2" x14ac:dyDescent="0.25">
      <c r="B598" s="113"/>
      <c r="C598" s="9">
        <v>2022</v>
      </c>
      <c r="D598" s="9">
        <v>1</v>
      </c>
      <c r="E598" s="9">
        <v>1</v>
      </c>
      <c r="F598" s="9">
        <v>0</v>
      </c>
      <c r="G598" s="9">
        <v>0</v>
      </c>
      <c r="H598" s="9">
        <v>0</v>
      </c>
      <c r="I598" s="9">
        <v>0</v>
      </c>
      <c r="J598" s="9">
        <v>1</v>
      </c>
      <c r="K598" s="9">
        <v>0</v>
      </c>
      <c r="L598" s="9">
        <v>0</v>
      </c>
      <c r="M598" s="9">
        <v>1</v>
      </c>
      <c r="N598" s="9">
        <v>0</v>
      </c>
      <c r="O598" s="9">
        <v>1</v>
      </c>
      <c r="P598" s="9">
        <v>0</v>
      </c>
      <c r="Q598" s="9">
        <v>0</v>
      </c>
      <c r="R598" s="9">
        <v>1</v>
      </c>
      <c r="S598" s="9">
        <v>1</v>
      </c>
      <c r="T598" s="9">
        <v>0</v>
      </c>
      <c r="U598" s="1">
        <f t="shared" si="5"/>
        <v>7</v>
      </c>
    </row>
    <row r="599" spans="2:21" ht="13.2" x14ac:dyDescent="0.25">
      <c r="B599" s="112" t="s">
        <v>129</v>
      </c>
      <c r="C599" s="9">
        <v>2018</v>
      </c>
      <c r="D599" s="9">
        <v>0</v>
      </c>
      <c r="E599" s="9">
        <v>0</v>
      </c>
      <c r="F599" s="9">
        <v>1</v>
      </c>
      <c r="G599" s="9">
        <v>1</v>
      </c>
      <c r="H599" s="9">
        <v>0</v>
      </c>
      <c r="I599" s="9">
        <v>1</v>
      </c>
      <c r="J599" s="9">
        <v>0</v>
      </c>
      <c r="K599" s="9">
        <v>0</v>
      </c>
      <c r="L599" s="9">
        <v>1</v>
      </c>
      <c r="M599" s="9">
        <v>1</v>
      </c>
      <c r="N599" s="9">
        <v>0</v>
      </c>
      <c r="O599" s="9">
        <v>0</v>
      </c>
      <c r="P599" s="9">
        <v>1</v>
      </c>
      <c r="Q599" s="9">
        <v>0</v>
      </c>
      <c r="R599" s="9">
        <v>1</v>
      </c>
      <c r="S599" s="9">
        <v>0</v>
      </c>
      <c r="T599" s="9">
        <v>0</v>
      </c>
      <c r="U599" s="1">
        <f t="shared" si="5"/>
        <v>7</v>
      </c>
    </row>
    <row r="600" spans="2:21" ht="13.2" x14ac:dyDescent="0.25">
      <c r="B600" s="109"/>
      <c r="C600" s="9">
        <v>2019</v>
      </c>
      <c r="D600" s="9">
        <v>1</v>
      </c>
      <c r="E600" s="9">
        <v>1</v>
      </c>
      <c r="F600" s="9">
        <v>0</v>
      </c>
      <c r="G600" s="9">
        <v>1</v>
      </c>
      <c r="H600" s="9">
        <v>0</v>
      </c>
      <c r="I600" s="9">
        <v>0</v>
      </c>
      <c r="J600" s="9">
        <v>1</v>
      </c>
      <c r="K600" s="9">
        <v>1</v>
      </c>
      <c r="L600" s="9">
        <v>1</v>
      </c>
      <c r="M600" s="9">
        <v>0</v>
      </c>
      <c r="N600" s="9">
        <v>1</v>
      </c>
      <c r="O600" s="9">
        <v>1</v>
      </c>
      <c r="P600" s="9">
        <v>1</v>
      </c>
      <c r="Q600" s="9">
        <v>0</v>
      </c>
      <c r="R600" s="9">
        <v>1</v>
      </c>
      <c r="S600" s="9">
        <v>0</v>
      </c>
      <c r="T600" s="9">
        <v>1</v>
      </c>
      <c r="U600" s="1">
        <f t="shared" si="5"/>
        <v>11</v>
      </c>
    </row>
    <row r="601" spans="2:21" ht="13.2" x14ac:dyDescent="0.25">
      <c r="B601" s="109"/>
      <c r="C601" s="9">
        <v>2020</v>
      </c>
      <c r="D601" s="9">
        <v>0</v>
      </c>
      <c r="E601" s="9">
        <v>0</v>
      </c>
      <c r="F601" s="9">
        <v>0</v>
      </c>
      <c r="G601" s="9">
        <v>0</v>
      </c>
      <c r="H601" s="9">
        <v>0</v>
      </c>
      <c r="I601" s="9">
        <v>0</v>
      </c>
      <c r="J601" s="9">
        <v>0</v>
      </c>
      <c r="K601" s="9">
        <v>0</v>
      </c>
      <c r="L601" s="9">
        <v>0</v>
      </c>
      <c r="M601" s="9">
        <v>1</v>
      </c>
      <c r="N601" s="9">
        <v>0</v>
      </c>
      <c r="O601" s="9">
        <v>0</v>
      </c>
      <c r="P601" s="9">
        <v>1</v>
      </c>
      <c r="Q601" s="9">
        <v>0</v>
      </c>
      <c r="R601" s="9">
        <v>1</v>
      </c>
      <c r="S601" s="9">
        <v>1</v>
      </c>
      <c r="T601" s="9">
        <v>0</v>
      </c>
      <c r="U601" s="1">
        <f t="shared" si="5"/>
        <v>4</v>
      </c>
    </row>
    <row r="602" spans="2:21" ht="13.2" x14ac:dyDescent="0.25">
      <c r="B602" s="109"/>
      <c r="C602" s="9">
        <v>2021</v>
      </c>
      <c r="D602" s="9">
        <v>0</v>
      </c>
      <c r="E602" s="9">
        <v>1</v>
      </c>
      <c r="F602" s="9">
        <v>1</v>
      </c>
      <c r="G602" s="9">
        <v>0</v>
      </c>
      <c r="H602" s="9">
        <v>0</v>
      </c>
      <c r="I602" s="9">
        <v>0</v>
      </c>
      <c r="J602" s="9">
        <v>0</v>
      </c>
      <c r="K602" s="9">
        <v>0</v>
      </c>
      <c r="L602" s="9">
        <v>0</v>
      </c>
      <c r="M602" s="9">
        <v>1</v>
      </c>
      <c r="N602" s="9">
        <v>0</v>
      </c>
      <c r="O602" s="9">
        <v>0</v>
      </c>
      <c r="P602" s="9">
        <v>0</v>
      </c>
      <c r="Q602" s="9">
        <v>0</v>
      </c>
      <c r="R602" s="9">
        <v>0</v>
      </c>
      <c r="S602" s="9">
        <v>0</v>
      </c>
      <c r="T602" s="9">
        <v>1</v>
      </c>
      <c r="U602" s="1">
        <f t="shared" si="5"/>
        <v>4</v>
      </c>
    </row>
    <row r="603" spans="2:21" ht="13.2" x14ac:dyDescent="0.25">
      <c r="B603" s="113"/>
      <c r="C603" s="9">
        <v>2022</v>
      </c>
      <c r="D603" s="9">
        <v>1</v>
      </c>
      <c r="E603" s="9">
        <v>0</v>
      </c>
      <c r="F603" s="9">
        <v>1</v>
      </c>
      <c r="G603" s="9">
        <v>1</v>
      </c>
      <c r="H603" s="9">
        <v>1</v>
      </c>
      <c r="I603" s="9">
        <v>0</v>
      </c>
      <c r="J603" s="9">
        <v>1</v>
      </c>
      <c r="K603" s="9">
        <v>0</v>
      </c>
      <c r="L603" s="9">
        <v>1</v>
      </c>
      <c r="M603" s="9">
        <v>1</v>
      </c>
      <c r="N603" s="9">
        <v>1</v>
      </c>
      <c r="O603" s="9">
        <v>0</v>
      </c>
      <c r="P603" s="9">
        <v>1</v>
      </c>
      <c r="Q603" s="9">
        <v>0</v>
      </c>
      <c r="R603" s="9">
        <v>0</v>
      </c>
      <c r="S603" s="9">
        <v>0</v>
      </c>
      <c r="T603" s="9">
        <v>1</v>
      </c>
      <c r="U603" s="1">
        <f t="shared" si="5"/>
        <v>10</v>
      </c>
    </row>
    <row r="604" spans="2:21" ht="13.2" x14ac:dyDescent="0.25">
      <c r="B604" s="112" t="s">
        <v>140</v>
      </c>
      <c r="C604" s="9">
        <v>2018</v>
      </c>
      <c r="D604" s="9">
        <v>1</v>
      </c>
      <c r="E604" s="9">
        <v>1</v>
      </c>
      <c r="F604" s="9">
        <v>1</v>
      </c>
      <c r="G604" s="9">
        <v>1</v>
      </c>
      <c r="H604" s="9">
        <v>1</v>
      </c>
      <c r="I604" s="9">
        <v>1</v>
      </c>
      <c r="J604" s="9">
        <v>0</v>
      </c>
      <c r="K604" s="9">
        <v>1</v>
      </c>
      <c r="L604" s="9">
        <v>1</v>
      </c>
      <c r="M604" s="9">
        <v>1</v>
      </c>
      <c r="N604" s="9">
        <v>1</v>
      </c>
      <c r="O604" s="9">
        <v>0</v>
      </c>
      <c r="P604" s="9">
        <v>1</v>
      </c>
      <c r="Q604" s="9">
        <v>1</v>
      </c>
      <c r="R604" s="9">
        <v>1</v>
      </c>
      <c r="S604" s="9">
        <v>0</v>
      </c>
      <c r="T604" s="9">
        <v>1</v>
      </c>
      <c r="U604" s="1">
        <f t="shared" si="5"/>
        <v>14</v>
      </c>
    </row>
    <row r="605" spans="2:21" ht="13.2" x14ac:dyDescent="0.25">
      <c r="B605" s="109"/>
      <c r="C605" s="9">
        <v>2019</v>
      </c>
      <c r="D605" s="9">
        <v>1</v>
      </c>
      <c r="E605" s="9">
        <v>0</v>
      </c>
      <c r="F605" s="9">
        <v>0</v>
      </c>
      <c r="G605" s="9">
        <v>1</v>
      </c>
      <c r="H605" s="9">
        <v>0</v>
      </c>
      <c r="I605" s="9">
        <v>1</v>
      </c>
      <c r="J605" s="9">
        <v>0</v>
      </c>
      <c r="K605" s="9">
        <v>1</v>
      </c>
      <c r="L605" s="9">
        <v>1</v>
      </c>
      <c r="M605" s="9">
        <v>1</v>
      </c>
      <c r="N605" s="9">
        <v>1</v>
      </c>
      <c r="O605" s="9">
        <v>0</v>
      </c>
      <c r="P605" s="9">
        <v>0</v>
      </c>
      <c r="Q605" s="9">
        <v>0</v>
      </c>
      <c r="R605" s="9">
        <v>0</v>
      </c>
      <c r="S605" s="9">
        <v>1</v>
      </c>
      <c r="T605" s="9">
        <v>0</v>
      </c>
      <c r="U605" s="1">
        <f t="shared" si="5"/>
        <v>8</v>
      </c>
    </row>
    <row r="606" spans="2:21" ht="13.2" x14ac:dyDescent="0.25">
      <c r="B606" s="109"/>
      <c r="C606" s="9">
        <v>2020</v>
      </c>
      <c r="D606" s="9">
        <v>0</v>
      </c>
      <c r="E606" s="9">
        <v>0</v>
      </c>
      <c r="F606" s="9">
        <v>1</v>
      </c>
      <c r="G606" s="9">
        <v>0</v>
      </c>
      <c r="H606" s="9">
        <v>1</v>
      </c>
      <c r="I606" s="9">
        <v>1</v>
      </c>
      <c r="J606" s="9">
        <v>0</v>
      </c>
      <c r="K606" s="9">
        <v>0</v>
      </c>
      <c r="L606" s="9">
        <v>1</v>
      </c>
      <c r="M606" s="9">
        <v>1</v>
      </c>
      <c r="N606" s="9">
        <v>1</v>
      </c>
      <c r="O606" s="9">
        <v>0</v>
      </c>
      <c r="P606" s="9">
        <v>1</v>
      </c>
      <c r="Q606" s="9">
        <v>1</v>
      </c>
      <c r="R606" s="9">
        <v>1</v>
      </c>
      <c r="S606" s="9">
        <v>0</v>
      </c>
      <c r="T606" s="9">
        <v>1</v>
      </c>
      <c r="U606" s="1">
        <f t="shared" si="5"/>
        <v>10</v>
      </c>
    </row>
    <row r="607" spans="2:21" ht="13.2" x14ac:dyDescent="0.25">
      <c r="B607" s="109"/>
      <c r="C607" s="9">
        <v>2021</v>
      </c>
      <c r="D607" s="9">
        <v>1</v>
      </c>
      <c r="E607" s="9">
        <v>0</v>
      </c>
      <c r="F607" s="9">
        <v>0</v>
      </c>
      <c r="G607" s="9">
        <v>0</v>
      </c>
      <c r="H607" s="9">
        <v>0</v>
      </c>
      <c r="I607" s="9">
        <v>0</v>
      </c>
      <c r="J607" s="9">
        <v>1</v>
      </c>
      <c r="K607" s="9">
        <v>1</v>
      </c>
      <c r="L607" s="9">
        <v>0</v>
      </c>
      <c r="M607" s="9">
        <v>0</v>
      </c>
      <c r="N607" s="9">
        <v>0</v>
      </c>
      <c r="O607" s="9">
        <v>0</v>
      </c>
      <c r="P607" s="9">
        <v>1</v>
      </c>
      <c r="Q607" s="9">
        <v>1</v>
      </c>
      <c r="R607" s="9">
        <v>1</v>
      </c>
      <c r="S607" s="9">
        <v>0</v>
      </c>
      <c r="T607" s="9">
        <v>0</v>
      </c>
      <c r="U607" s="1">
        <f t="shared" si="5"/>
        <v>6</v>
      </c>
    </row>
    <row r="608" spans="2:21" ht="13.2" x14ac:dyDescent="0.25">
      <c r="B608" s="113"/>
      <c r="C608" s="9">
        <v>2022</v>
      </c>
      <c r="D608" s="9">
        <v>0</v>
      </c>
      <c r="E608" s="9">
        <v>1</v>
      </c>
      <c r="F608" s="9">
        <v>0</v>
      </c>
      <c r="G608" s="9">
        <v>0</v>
      </c>
      <c r="H608" s="9">
        <v>1</v>
      </c>
      <c r="I608" s="9">
        <v>0</v>
      </c>
      <c r="J608" s="9">
        <v>0</v>
      </c>
      <c r="K608" s="9">
        <v>1</v>
      </c>
      <c r="L608" s="9">
        <v>0</v>
      </c>
      <c r="M608" s="9">
        <v>0</v>
      </c>
      <c r="N608" s="9">
        <v>1</v>
      </c>
      <c r="O608" s="9">
        <v>1</v>
      </c>
      <c r="P608" s="9">
        <v>0</v>
      </c>
      <c r="Q608" s="9">
        <v>1</v>
      </c>
      <c r="R608" s="9">
        <v>1</v>
      </c>
      <c r="S608" s="9">
        <v>0</v>
      </c>
      <c r="T608" s="9">
        <v>1</v>
      </c>
      <c r="U608" s="1">
        <f t="shared" si="5"/>
        <v>8</v>
      </c>
    </row>
    <row r="609" spans="2:21" ht="13.2" x14ac:dyDescent="0.25">
      <c r="B609" s="112" t="s">
        <v>150</v>
      </c>
      <c r="C609" s="9">
        <v>2018</v>
      </c>
      <c r="D609" s="9">
        <v>0</v>
      </c>
      <c r="E609" s="9">
        <v>1</v>
      </c>
      <c r="F609" s="9">
        <v>1</v>
      </c>
      <c r="G609" s="9">
        <v>0</v>
      </c>
      <c r="H609" s="9">
        <v>0</v>
      </c>
      <c r="I609" s="9">
        <v>1</v>
      </c>
      <c r="J609" s="9">
        <v>0</v>
      </c>
      <c r="K609" s="9">
        <v>0</v>
      </c>
      <c r="L609" s="9">
        <v>1</v>
      </c>
      <c r="M609" s="9">
        <v>0</v>
      </c>
      <c r="N609" s="9">
        <v>1</v>
      </c>
      <c r="O609" s="9">
        <v>0</v>
      </c>
      <c r="P609" s="9">
        <v>1</v>
      </c>
      <c r="Q609" s="9">
        <v>1</v>
      </c>
      <c r="R609" s="9">
        <v>1</v>
      </c>
      <c r="S609" s="9">
        <v>0</v>
      </c>
      <c r="T609" s="9">
        <v>0</v>
      </c>
      <c r="U609" s="1">
        <f t="shared" si="5"/>
        <v>8</v>
      </c>
    </row>
    <row r="610" spans="2:21" ht="13.2" x14ac:dyDescent="0.25">
      <c r="B610" s="109"/>
      <c r="C610" s="9">
        <v>2019</v>
      </c>
      <c r="D610" s="9">
        <v>1</v>
      </c>
      <c r="E610" s="9">
        <v>1</v>
      </c>
      <c r="F610" s="9">
        <v>1</v>
      </c>
      <c r="G610" s="9">
        <v>1</v>
      </c>
      <c r="H610" s="9">
        <v>0</v>
      </c>
      <c r="I610" s="9">
        <v>1</v>
      </c>
      <c r="J610" s="9">
        <v>0</v>
      </c>
      <c r="K610" s="9">
        <v>1</v>
      </c>
      <c r="L610" s="9">
        <v>1</v>
      </c>
      <c r="M610" s="9">
        <v>1</v>
      </c>
      <c r="N610" s="9">
        <v>1</v>
      </c>
      <c r="O610" s="9">
        <v>1</v>
      </c>
      <c r="P610" s="9">
        <v>1</v>
      </c>
      <c r="Q610" s="9">
        <v>0</v>
      </c>
      <c r="R610" s="9">
        <v>0</v>
      </c>
      <c r="S610" s="9">
        <v>1</v>
      </c>
      <c r="T610" s="9">
        <v>0</v>
      </c>
      <c r="U610" s="1">
        <f t="shared" si="5"/>
        <v>12</v>
      </c>
    </row>
    <row r="611" spans="2:21" ht="13.2" x14ac:dyDescent="0.25">
      <c r="B611" s="109"/>
      <c r="C611" s="9">
        <v>2020</v>
      </c>
      <c r="D611" s="9">
        <v>0</v>
      </c>
      <c r="E611" s="9">
        <v>0</v>
      </c>
      <c r="F611" s="9">
        <v>1</v>
      </c>
      <c r="G611" s="9">
        <v>1</v>
      </c>
      <c r="H611" s="9">
        <v>0</v>
      </c>
      <c r="I611" s="9">
        <v>1</v>
      </c>
      <c r="J611" s="9">
        <v>1</v>
      </c>
      <c r="K611" s="9">
        <v>1</v>
      </c>
      <c r="L611" s="9">
        <v>0</v>
      </c>
      <c r="M611" s="9">
        <v>1</v>
      </c>
      <c r="N611" s="9">
        <v>1</v>
      </c>
      <c r="O611" s="9">
        <v>1</v>
      </c>
      <c r="P611" s="9">
        <v>0</v>
      </c>
      <c r="Q611" s="9">
        <v>0</v>
      </c>
      <c r="R611" s="9">
        <v>0</v>
      </c>
      <c r="S611" s="9">
        <v>1</v>
      </c>
      <c r="T611" s="9">
        <v>1</v>
      </c>
      <c r="U611" s="1">
        <f t="shared" si="5"/>
        <v>10</v>
      </c>
    </row>
    <row r="612" spans="2:21" ht="13.2" x14ac:dyDescent="0.25">
      <c r="B612" s="109"/>
      <c r="C612" s="9">
        <v>2021</v>
      </c>
      <c r="D612" s="9">
        <v>0</v>
      </c>
      <c r="E612" s="9">
        <v>1</v>
      </c>
      <c r="F612" s="9">
        <v>1</v>
      </c>
      <c r="G612" s="9">
        <v>1</v>
      </c>
      <c r="H612" s="9">
        <v>0</v>
      </c>
      <c r="I612" s="9">
        <v>1</v>
      </c>
      <c r="J612" s="9">
        <v>0</v>
      </c>
      <c r="K612" s="9">
        <v>1</v>
      </c>
      <c r="L612" s="9">
        <v>1</v>
      </c>
      <c r="M612" s="9">
        <v>0</v>
      </c>
      <c r="N612" s="9">
        <v>1</v>
      </c>
      <c r="O612" s="9">
        <v>0</v>
      </c>
      <c r="P612" s="9">
        <v>0</v>
      </c>
      <c r="Q612" s="9">
        <v>1</v>
      </c>
      <c r="R612" s="9">
        <v>0</v>
      </c>
      <c r="S612" s="9">
        <v>1</v>
      </c>
      <c r="T612" s="9">
        <v>1</v>
      </c>
      <c r="U612" s="1">
        <f t="shared" si="5"/>
        <v>10</v>
      </c>
    </row>
    <row r="613" spans="2:21" ht="13.2" x14ac:dyDescent="0.25">
      <c r="B613" s="113"/>
      <c r="C613" s="9">
        <v>2022</v>
      </c>
      <c r="D613" s="9">
        <v>1</v>
      </c>
      <c r="E613" s="9">
        <v>1</v>
      </c>
      <c r="F613" s="9">
        <v>1</v>
      </c>
      <c r="G613" s="9">
        <v>0</v>
      </c>
      <c r="H613" s="9">
        <v>0</v>
      </c>
      <c r="I613" s="9">
        <v>1</v>
      </c>
      <c r="J613" s="9">
        <v>0</v>
      </c>
      <c r="K613" s="9">
        <v>1</v>
      </c>
      <c r="L613" s="9">
        <v>0</v>
      </c>
      <c r="M613" s="9">
        <v>1</v>
      </c>
      <c r="N613" s="9">
        <v>0</v>
      </c>
      <c r="O613" s="9">
        <v>1</v>
      </c>
      <c r="P613" s="9">
        <v>0</v>
      </c>
      <c r="Q613" s="9">
        <v>0</v>
      </c>
      <c r="R613" s="9">
        <v>1</v>
      </c>
      <c r="S613" s="9">
        <v>1</v>
      </c>
      <c r="T613" s="9">
        <v>1</v>
      </c>
      <c r="U613" s="1">
        <f t="shared" si="5"/>
        <v>10</v>
      </c>
    </row>
    <row r="614" spans="2:21" ht="13.2" x14ac:dyDescent="0.25">
      <c r="B614" s="112" t="s">
        <v>156</v>
      </c>
      <c r="C614" s="9">
        <v>2018</v>
      </c>
      <c r="D614" s="9">
        <v>0</v>
      </c>
      <c r="E614" s="9">
        <v>0</v>
      </c>
      <c r="F614" s="9">
        <v>0</v>
      </c>
      <c r="G614" s="9">
        <v>1</v>
      </c>
      <c r="H614" s="9">
        <v>1</v>
      </c>
      <c r="I614" s="9">
        <v>1</v>
      </c>
      <c r="J614" s="9">
        <v>1</v>
      </c>
      <c r="K614" s="9">
        <v>0</v>
      </c>
      <c r="L614" s="9">
        <v>1</v>
      </c>
      <c r="M614" s="9">
        <v>1</v>
      </c>
      <c r="N614" s="9">
        <v>0</v>
      </c>
      <c r="O614" s="9">
        <v>1</v>
      </c>
      <c r="P614" s="9">
        <v>1</v>
      </c>
      <c r="Q614" s="9">
        <v>1</v>
      </c>
      <c r="R614" s="9">
        <v>1</v>
      </c>
      <c r="S614" s="9">
        <v>1</v>
      </c>
      <c r="T614" s="9">
        <v>1</v>
      </c>
      <c r="U614" s="1">
        <f t="shared" si="5"/>
        <v>12</v>
      </c>
    </row>
    <row r="615" spans="2:21" ht="13.2" x14ac:dyDescent="0.25">
      <c r="B615" s="109"/>
      <c r="C615" s="9">
        <v>2019</v>
      </c>
      <c r="D615" s="9">
        <v>1</v>
      </c>
      <c r="E615" s="9">
        <v>0</v>
      </c>
      <c r="F615" s="9">
        <v>0</v>
      </c>
      <c r="G615" s="9">
        <v>1</v>
      </c>
      <c r="H615" s="9">
        <v>0</v>
      </c>
      <c r="I615" s="9">
        <v>1</v>
      </c>
      <c r="J615" s="9">
        <v>0</v>
      </c>
      <c r="K615" s="9">
        <v>0</v>
      </c>
      <c r="L615" s="9">
        <v>1</v>
      </c>
      <c r="M615" s="9">
        <v>0</v>
      </c>
      <c r="N615" s="9">
        <v>0</v>
      </c>
      <c r="O615" s="9">
        <v>0</v>
      </c>
      <c r="P615" s="9">
        <v>1</v>
      </c>
      <c r="Q615" s="9">
        <v>0</v>
      </c>
      <c r="R615" s="9">
        <v>0</v>
      </c>
      <c r="S615" s="9">
        <v>1</v>
      </c>
      <c r="T615" s="9">
        <v>1</v>
      </c>
      <c r="U615" s="1">
        <f t="shared" si="5"/>
        <v>7</v>
      </c>
    </row>
    <row r="616" spans="2:21" ht="13.2" x14ac:dyDescent="0.25">
      <c r="B616" s="109"/>
      <c r="C616" s="9">
        <v>2020</v>
      </c>
      <c r="D616" s="9">
        <v>0</v>
      </c>
      <c r="E616" s="9">
        <v>1</v>
      </c>
      <c r="F616" s="9">
        <v>0</v>
      </c>
      <c r="G616" s="9">
        <v>1</v>
      </c>
      <c r="H616" s="9">
        <v>1</v>
      </c>
      <c r="I616" s="9">
        <v>0</v>
      </c>
      <c r="J616" s="9">
        <v>0</v>
      </c>
      <c r="K616" s="9">
        <v>0</v>
      </c>
      <c r="L616" s="9">
        <v>1</v>
      </c>
      <c r="M616" s="9">
        <v>0</v>
      </c>
      <c r="N616" s="9">
        <v>1</v>
      </c>
      <c r="O616" s="9">
        <v>0</v>
      </c>
      <c r="P616" s="9">
        <v>0</v>
      </c>
      <c r="Q616" s="9">
        <v>1</v>
      </c>
      <c r="R616" s="9">
        <v>1</v>
      </c>
      <c r="S616" s="9">
        <v>1</v>
      </c>
      <c r="T616" s="9">
        <v>1</v>
      </c>
      <c r="U616" s="1">
        <f t="shared" si="5"/>
        <v>9</v>
      </c>
    </row>
    <row r="617" spans="2:21" ht="13.2" x14ac:dyDescent="0.25">
      <c r="B617" s="109"/>
      <c r="C617" s="9">
        <v>2021</v>
      </c>
      <c r="D617" s="9">
        <v>0</v>
      </c>
      <c r="E617" s="9">
        <v>1</v>
      </c>
      <c r="F617" s="9">
        <v>1</v>
      </c>
      <c r="G617" s="9">
        <v>1</v>
      </c>
      <c r="H617" s="9">
        <v>0</v>
      </c>
      <c r="I617" s="9">
        <v>0</v>
      </c>
      <c r="J617" s="9">
        <v>0</v>
      </c>
      <c r="K617" s="9">
        <v>0</v>
      </c>
      <c r="L617" s="9">
        <v>1</v>
      </c>
      <c r="M617" s="9">
        <v>1</v>
      </c>
      <c r="N617" s="9">
        <v>0</v>
      </c>
      <c r="O617" s="9">
        <v>0</v>
      </c>
      <c r="P617" s="9">
        <v>0</v>
      </c>
      <c r="Q617" s="9">
        <v>1</v>
      </c>
      <c r="R617" s="9">
        <v>1</v>
      </c>
      <c r="S617" s="9">
        <v>0</v>
      </c>
      <c r="T617" s="9">
        <v>0</v>
      </c>
      <c r="U617" s="1">
        <f t="shared" si="5"/>
        <v>7</v>
      </c>
    </row>
    <row r="618" spans="2:21" ht="13.2" x14ac:dyDescent="0.25">
      <c r="B618" s="113"/>
      <c r="C618" s="9">
        <v>2022</v>
      </c>
      <c r="D618" s="9">
        <v>1</v>
      </c>
      <c r="E618" s="9">
        <v>1</v>
      </c>
      <c r="F618" s="9">
        <v>1</v>
      </c>
      <c r="G618" s="9">
        <v>0</v>
      </c>
      <c r="H618" s="9">
        <v>0</v>
      </c>
      <c r="I618" s="9">
        <v>1</v>
      </c>
      <c r="J618" s="9">
        <v>1</v>
      </c>
      <c r="K618" s="9">
        <v>1</v>
      </c>
      <c r="L618" s="9">
        <v>0</v>
      </c>
      <c r="M618" s="9">
        <v>1</v>
      </c>
      <c r="N618" s="9">
        <v>0</v>
      </c>
      <c r="O618" s="9">
        <v>0</v>
      </c>
      <c r="P618" s="9">
        <v>1</v>
      </c>
      <c r="Q618" s="9">
        <v>1</v>
      </c>
      <c r="R618" s="9">
        <v>1</v>
      </c>
      <c r="S618" s="9">
        <v>1</v>
      </c>
      <c r="T618" s="9">
        <v>0</v>
      </c>
      <c r="U618" s="1">
        <f t="shared" si="5"/>
        <v>11</v>
      </c>
    </row>
    <row r="619" spans="2:21" ht="13.2" x14ac:dyDescent="0.25">
      <c r="B619" s="112" t="s">
        <v>162</v>
      </c>
      <c r="C619" s="9">
        <v>2018</v>
      </c>
      <c r="D619" s="9">
        <v>0</v>
      </c>
      <c r="E619" s="9">
        <v>1</v>
      </c>
      <c r="F619" s="9">
        <v>1</v>
      </c>
      <c r="G619" s="9">
        <v>0</v>
      </c>
      <c r="H619" s="9">
        <v>1</v>
      </c>
      <c r="I619" s="9">
        <v>0</v>
      </c>
      <c r="J619" s="9">
        <v>0</v>
      </c>
      <c r="K619" s="9">
        <v>1</v>
      </c>
      <c r="L619" s="9">
        <v>0</v>
      </c>
      <c r="M619" s="9">
        <v>0</v>
      </c>
      <c r="N619" s="9">
        <v>0</v>
      </c>
      <c r="O619" s="9">
        <v>1</v>
      </c>
      <c r="P619" s="9">
        <v>1</v>
      </c>
      <c r="Q619" s="9">
        <v>1</v>
      </c>
      <c r="R619" s="9">
        <v>0</v>
      </c>
      <c r="S619" s="9">
        <v>0</v>
      </c>
      <c r="T619" s="9">
        <v>0</v>
      </c>
      <c r="U619" s="1">
        <f t="shared" si="5"/>
        <v>7</v>
      </c>
    </row>
    <row r="620" spans="2:21" ht="13.2" x14ac:dyDescent="0.25">
      <c r="B620" s="109"/>
      <c r="C620" s="9">
        <v>2019</v>
      </c>
      <c r="D620" s="9">
        <v>0</v>
      </c>
      <c r="E620" s="9">
        <v>1</v>
      </c>
      <c r="F620" s="9">
        <v>0</v>
      </c>
      <c r="G620" s="9">
        <v>0</v>
      </c>
      <c r="H620" s="9">
        <v>0</v>
      </c>
      <c r="I620" s="9">
        <v>0</v>
      </c>
      <c r="J620" s="9">
        <v>1</v>
      </c>
      <c r="K620" s="9">
        <v>1</v>
      </c>
      <c r="L620" s="9">
        <v>0</v>
      </c>
      <c r="M620" s="9">
        <v>1</v>
      </c>
      <c r="N620" s="9">
        <v>0</v>
      </c>
      <c r="O620" s="9">
        <v>0</v>
      </c>
      <c r="P620" s="9">
        <v>1</v>
      </c>
      <c r="Q620" s="9">
        <v>1</v>
      </c>
      <c r="R620" s="9">
        <v>1</v>
      </c>
      <c r="S620" s="9">
        <v>0</v>
      </c>
      <c r="T620" s="9">
        <v>1</v>
      </c>
      <c r="U620" s="1">
        <f t="shared" si="5"/>
        <v>8</v>
      </c>
    </row>
    <row r="621" spans="2:21" ht="13.2" x14ac:dyDescent="0.25">
      <c r="B621" s="109"/>
      <c r="C621" s="9">
        <v>2020</v>
      </c>
      <c r="D621" s="9">
        <v>0</v>
      </c>
      <c r="E621" s="9">
        <v>1</v>
      </c>
      <c r="F621" s="9">
        <v>0</v>
      </c>
      <c r="G621" s="9">
        <v>1</v>
      </c>
      <c r="H621" s="9">
        <v>0</v>
      </c>
      <c r="I621" s="9">
        <v>1</v>
      </c>
      <c r="J621" s="9">
        <v>1</v>
      </c>
      <c r="K621" s="9">
        <v>1</v>
      </c>
      <c r="L621" s="9">
        <v>0</v>
      </c>
      <c r="M621" s="9">
        <v>0</v>
      </c>
      <c r="N621" s="9">
        <v>1</v>
      </c>
      <c r="O621" s="9">
        <v>0</v>
      </c>
      <c r="P621" s="9">
        <v>0</v>
      </c>
      <c r="Q621" s="9">
        <v>0</v>
      </c>
      <c r="R621" s="9">
        <v>1</v>
      </c>
      <c r="S621" s="9">
        <v>0</v>
      </c>
      <c r="T621" s="9">
        <v>1</v>
      </c>
      <c r="U621" s="1">
        <f t="shared" si="5"/>
        <v>8</v>
      </c>
    </row>
    <row r="622" spans="2:21" ht="13.2" x14ac:dyDescent="0.25">
      <c r="B622" s="109"/>
      <c r="C622" s="9">
        <v>2021</v>
      </c>
      <c r="D622" s="9">
        <v>1</v>
      </c>
      <c r="E622" s="9">
        <v>1</v>
      </c>
      <c r="F622" s="9">
        <v>1</v>
      </c>
      <c r="G622" s="9">
        <v>1</v>
      </c>
      <c r="H622" s="9">
        <v>1</v>
      </c>
      <c r="I622" s="9">
        <v>1</v>
      </c>
      <c r="J622" s="9">
        <v>0</v>
      </c>
      <c r="K622" s="9">
        <v>0</v>
      </c>
      <c r="L622" s="9">
        <v>1</v>
      </c>
      <c r="M622" s="9">
        <v>0</v>
      </c>
      <c r="N622" s="9">
        <v>0</v>
      </c>
      <c r="O622" s="9">
        <v>0</v>
      </c>
      <c r="P622" s="9">
        <v>1</v>
      </c>
      <c r="Q622" s="9">
        <v>1</v>
      </c>
      <c r="R622" s="9">
        <v>0</v>
      </c>
      <c r="S622" s="9">
        <v>1</v>
      </c>
      <c r="T622" s="9">
        <v>1</v>
      </c>
      <c r="U622" s="1">
        <f t="shared" si="5"/>
        <v>11</v>
      </c>
    </row>
    <row r="623" spans="2:21" ht="13.2" x14ac:dyDescent="0.25">
      <c r="B623" s="113"/>
      <c r="C623" s="9">
        <v>2022</v>
      </c>
      <c r="D623" s="9">
        <v>1</v>
      </c>
      <c r="E623" s="9">
        <v>1</v>
      </c>
      <c r="F623" s="9">
        <v>1</v>
      </c>
      <c r="G623" s="9">
        <v>0</v>
      </c>
      <c r="H623" s="9">
        <v>0</v>
      </c>
      <c r="I623" s="9">
        <v>0</v>
      </c>
      <c r="J623" s="9">
        <v>0</v>
      </c>
      <c r="K623" s="9">
        <v>1</v>
      </c>
      <c r="L623" s="9">
        <v>1</v>
      </c>
      <c r="M623" s="9">
        <v>0</v>
      </c>
      <c r="N623" s="9">
        <v>0</v>
      </c>
      <c r="O623" s="9">
        <v>0</v>
      </c>
      <c r="P623" s="9">
        <v>0</v>
      </c>
      <c r="Q623" s="9">
        <v>0</v>
      </c>
      <c r="R623" s="9">
        <v>1</v>
      </c>
      <c r="S623" s="9">
        <v>1</v>
      </c>
      <c r="T623" s="9">
        <v>1</v>
      </c>
      <c r="U623" s="1">
        <f t="shared" si="5"/>
        <v>8</v>
      </c>
    </row>
    <row r="624" spans="2:21" ht="13.2" x14ac:dyDescent="0.25">
      <c r="B624" s="112" t="s">
        <v>168</v>
      </c>
      <c r="C624" s="9">
        <v>2018</v>
      </c>
      <c r="D624" s="9">
        <v>1</v>
      </c>
      <c r="E624" s="9">
        <v>0</v>
      </c>
      <c r="F624" s="9">
        <v>1</v>
      </c>
      <c r="G624" s="9">
        <v>0</v>
      </c>
      <c r="H624" s="9">
        <v>1</v>
      </c>
      <c r="I624" s="9">
        <v>1</v>
      </c>
      <c r="J624" s="9">
        <v>1</v>
      </c>
      <c r="K624" s="9">
        <v>0</v>
      </c>
      <c r="L624" s="9">
        <v>0</v>
      </c>
      <c r="M624" s="9">
        <v>0</v>
      </c>
      <c r="N624" s="9">
        <v>0</v>
      </c>
      <c r="O624" s="9">
        <v>0</v>
      </c>
      <c r="P624" s="9">
        <v>1</v>
      </c>
      <c r="Q624" s="9">
        <v>1</v>
      </c>
      <c r="R624" s="9">
        <v>0</v>
      </c>
      <c r="S624" s="9">
        <v>0</v>
      </c>
      <c r="T624" s="9">
        <v>0</v>
      </c>
      <c r="U624" s="1">
        <f t="shared" si="5"/>
        <v>7</v>
      </c>
    </row>
    <row r="625" spans="2:21" ht="13.2" x14ac:dyDescent="0.25">
      <c r="B625" s="109"/>
      <c r="C625" s="9">
        <v>2019</v>
      </c>
      <c r="D625" s="9">
        <v>1</v>
      </c>
      <c r="E625" s="9">
        <v>0</v>
      </c>
      <c r="F625" s="9">
        <v>0</v>
      </c>
      <c r="G625" s="9">
        <v>1</v>
      </c>
      <c r="H625" s="9">
        <v>0</v>
      </c>
      <c r="I625" s="9">
        <v>1</v>
      </c>
      <c r="J625" s="9">
        <v>0</v>
      </c>
      <c r="K625" s="9">
        <v>1</v>
      </c>
      <c r="L625" s="9">
        <v>1</v>
      </c>
      <c r="M625" s="9">
        <v>0</v>
      </c>
      <c r="N625" s="9">
        <v>1</v>
      </c>
      <c r="O625" s="9">
        <v>0</v>
      </c>
      <c r="P625" s="9">
        <v>1</v>
      </c>
      <c r="Q625" s="9">
        <v>1</v>
      </c>
      <c r="R625" s="9">
        <v>0</v>
      </c>
      <c r="S625" s="9">
        <v>1</v>
      </c>
      <c r="T625" s="9">
        <v>0</v>
      </c>
      <c r="U625" s="1">
        <f t="shared" si="5"/>
        <v>9</v>
      </c>
    </row>
    <row r="626" spans="2:21" ht="13.2" x14ac:dyDescent="0.25">
      <c r="B626" s="109"/>
      <c r="C626" s="9">
        <v>2020</v>
      </c>
      <c r="D626" s="9">
        <v>1</v>
      </c>
      <c r="E626" s="9">
        <v>1</v>
      </c>
      <c r="F626" s="9">
        <v>1</v>
      </c>
      <c r="G626" s="9">
        <v>0</v>
      </c>
      <c r="H626" s="9">
        <v>0</v>
      </c>
      <c r="I626" s="9">
        <v>1</v>
      </c>
      <c r="J626" s="9">
        <v>1</v>
      </c>
      <c r="K626" s="9">
        <v>0</v>
      </c>
      <c r="L626" s="9">
        <v>1</v>
      </c>
      <c r="M626" s="9">
        <v>1</v>
      </c>
      <c r="N626" s="9">
        <v>1</v>
      </c>
      <c r="O626" s="9">
        <v>0</v>
      </c>
      <c r="P626" s="9">
        <v>1</v>
      </c>
      <c r="Q626" s="9">
        <v>1</v>
      </c>
      <c r="R626" s="9">
        <v>1</v>
      </c>
      <c r="S626" s="9">
        <v>1</v>
      </c>
      <c r="T626" s="9">
        <v>0</v>
      </c>
      <c r="U626" s="1">
        <f t="shared" si="5"/>
        <v>12</v>
      </c>
    </row>
    <row r="627" spans="2:21" ht="13.2" x14ac:dyDescent="0.25">
      <c r="B627" s="109"/>
      <c r="C627" s="9">
        <v>2021</v>
      </c>
      <c r="D627" s="9">
        <v>0</v>
      </c>
      <c r="E627" s="9">
        <v>0</v>
      </c>
      <c r="F627" s="9">
        <v>1</v>
      </c>
      <c r="G627" s="9">
        <v>0</v>
      </c>
      <c r="H627" s="9">
        <v>0</v>
      </c>
      <c r="I627" s="9">
        <v>0</v>
      </c>
      <c r="J627" s="9">
        <v>0</v>
      </c>
      <c r="K627" s="9">
        <v>0</v>
      </c>
      <c r="L627" s="9">
        <v>1</v>
      </c>
      <c r="M627" s="9">
        <v>1</v>
      </c>
      <c r="N627" s="9">
        <v>1</v>
      </c>
      <c r="O627" s="9">
        <v>1</v>
      </c>
      <c r="P627" s="9">
        <v>0</v>
      </c>
      <c r="Q627" s="9">
        <v>0</v>
      </c>
      <c r="R627" s="9">
        <v>1</v>
      </c>
      <c r="S627" s="9">
        <v>1</v>
      </c>
      <c r="T627" s="9">
        <v>1</v>
      </c>
      <c r="U627" s="1">
        <f t="shared" si="5"/>
        <v>8</v>
      </c>
    </row>
    <row r="628" spans="2:21" ht="13.2" x14ac:dyDescent="0.25">
      <c r="B628" s="113"/>
      <c r="C628" s="9">
        <v>2022</v>
      </c>
      <c r="D628" s="9">
        <v>1</v>
      </c>
      <c r="E628" s="9">
        <v>0</v>
      </c>
      <c r="F628" s="9">
        <v>0</v>
      </c>
      <c r="G628" s="9">
        <v>1</v>
      </c>
      <c r="H628" s="9">
        <v>1</v>
      </c>
      <c r="I628" s="9">
        <v>0</v>
      </c>
      <c r="J628" s="9">
        <v>1</v>
      </c>
      <c r="K628" s="9">
        <v>0</v>
      </c>
      <c r="L628" s="9">
        <v>0</v>
      </c>
      <c r="M628" s="9">
        <v>1</v>
      </c>
      <c r="N628" s="9">
        <v>1</v>
      </c>
      <c r="O628" s="9">
        <v>0</v>
      </c>
      <c r="P628" s="9">
        <v>1</v>
      </c>
      <c r="Q628" s="9">
        <v>1</v>
      </c>
      <c r="R628" s="9">
        <v>0</v>
      </c>
      <c r="S628" s="9">
        <v>1</v>
      </c>
      <c r="T628" s="9">
        <v>1</v>
      </c>
      <c r="U628" s="1">
        <f t="shared" si="5"/>
        <v>10</v>
      </c>
    </row>
    <row r="629" spans="2:21" ht="13.2" x14ac:dyDescent="0.25">
      <c r="B629" s="112" t="s">
        <v>173</v>
      </c>
      <c r="C629" s="9">
        <v>2018</v>
      </c>
      <c r="D629" s="9">
        <v>1</v>
      </c>
      <c r="E629" s="9">
        <v>1</v>
      </c>
      <c r="F629" s="9">
        <v>1</v>
      </c>
      <c r="G629" s="9">
        <v>1</v>
      </c>
      <c r="H629" s="9">
        <v>0</v>
      </c>
      <c r="I629" s="9">
        <v>0</v>
      </c>
      <c r="J629" s="9">
        <v>1</v>
      </c>
      <c r="K629" s="9">
        <v>1</v>
      </c>
      <c r="L629" s="9">
        <v>0</v>
      </c>
      <c r="M629" s="9">
        <v>0</v>
      </c>
      <c r="N629" s="9">
        <v>1</v>
      </c>
      <c r="O629" s="9">
        <v>0</v>
      </c>
      <c r="P629" s="9">
        <v>0</v>
      </c>
      <c r="Q629" s="9">
        <v>0</v>
      </c>
      <c r="R629" s="9">
        <v>0</v>
      </c>
      <c r="S629" s="9">
        <v>0</v>
      </c>
      <c r="T629" s="9">
        <v>1</v>
      </c>
      <c r="U629" s="1">
        <f t="shared" si="5"/>
        <v>8</v>
      </c>
    </row>
    <row r="630" spans="2:21" ht="13.2" x14ac:dyDescent="0.25">
      <c r="B630" s="109"/>
      <c r="C630" s="9">
        <v>2019</v>
      </c>
      <c r="D630" s="9">
        <v>1</v>
      </c>
      <c r="E630" s="9">
        <v>0</v>
      </c>
      <c r="F630" s="9">
        <v>0</v>
      </c>
      <c r="G630" s="9">
        <v>1</v>
      </c>
      <c r="H630" s="9">
        <v>0</v>
      </c>
      <c r="I630" s="9">
        <v>1</v>
      </c>
      <c r="J630" s="9">
        <v>0</v>
      </c>
      <c r="K630" s="9">
        <v>1</v>
      </c>
      <c r="L630" s="9">
        <v>1</v>
      </c>
      <c r="M630" s="9">
        <v>1</v>
      </c>
      <c r="N630" s="9">
        <v>0</v>
      </c>
      <c r="O630" s="9">
        <v>0</v>
      </c>
      <c r="P630" s="9">
        <v>0</v>
      </c>
      <c r="Q630" s="9">
        <v>1</v>
      </c>
      <c r="R630" s="9">
        <v>1</v>
      </c>
      <c r="S630" s="9">
        <v>0</v>
      </c>
      <c r="T630" s="9">
        <v>1</v>
      </c>
      <c r="U630" s="1">
        <f t="shared" si="5"/>
        <v>9</v>
      </c>
    </row>
    <row r="631" spans="2:21" ht="13.2" x14ac:dyDescent="0.25">
      <c r="B631" s="109"/>
      <c r="C631" s="9">
        <v>2020</v>
      </c>
      <c r="D631" s="9">
        <v>1</v>
      </c>
      <c r="E631" s="9">
        <v>1</v>
      </c>
      <c r="F631" s="9">
        <v>0</v>
      </c>
      <c r="G631" s="9">
        <v>1</v>
      </c>
      <c r="H631" s="9">
        <v>1</v>
      </c>
      <c r="I631" s="9">
        <v>1</v>
      </c>
      <c r="J631" s="9">
        <v>1</v>
      </c>
      <c r="K631" s="9">
        <v>0</v>
      </c>
      <c r="L631" s="9">
        <v>1</v>
      </c>
      <c r="M631" s="9">
        <v>1</v>
      </c>
      <c r="N631" s="9">
        <v>1</v>
      </c>
      <c r="O631" s="9">
        <v>0</v>
      </c>
      <c r="P631" s="9">
        <v>1</v>
      </c>
      <c r="Q631" s="9">
        <v>0</v>
      </c>
      <c r="R631" s="9">
        <v>1</v>
      </c>
      <c r="S631" s="9">
        <v>0</v>
      </c>
      <c r="T631" s="9">
        <v>0</v>
      </c>
      <c r="U631" s="1">
        <f t="shared" si="5"/>
        <v>11</v>
      </c>
    </row>
    <row r="632" spans="2:21" ht="13.2" x14ac:dyDescent="0.25">
      <c r="B632" s="109"/>
      <c r="C632" s="9">
        <v>2021</v>
      </c>
      <c r="D632" s="9">
        <v>0</v>
      </c>
      <c r="E632" s="9">
        <v>0</v>
      </c>
      <c r="F632" s="9">
        <v>0</v>
      </c>
      <c r="G632" s="9">
        <v>0</v>
      </c>
      <c r="H632" s="9">
        <v>1</v>
      </c>
      <c r="I632" s="9">
        <v>1</v>
      </c>
      <c r="J632" s="9">
        <v>1</v>
      </c>
      <c r="K632" s="9">
        <v>1</v>
      </c>
      <c r="L632" s="9">
        <v>0</v>
      </c>
      <c r="M632" s="9">
        <v>1</v>
      </c>
      <c r="N632" s="9">
        <v>1</v>
      </c>
      <c r="O632" s="9">
        <v>1</v>
      </c>
      <c r="P632" s="9">
        <v>0</v>
      </c>
      <c r="Q632" s="9">
        <v>1</v>
      </c>
      <c r="R632" s="9">
        <v>1</v>
      </c>
      <c r="S632" s="9">
        <v>1</v>
      </c>
      <c r="T632" s="9">
        <v>1</v>
      </c>
      <c r="U632" s="1">
        <f t="shared" si="5"/>
        <v>11</v>
      </c>
    </row>
    <row r="633" spans="2:21" ht="13.2" x14ac:dyDescent="0.25">
      <c r="B633" s="113"/>
      <c r="C633" s="9">
        <v>2022</v>
      </c>
      <c r="D633" s="9">
        <v>1</v>
      </c>
      <c r="E633" s="9">
        <v>0</v>
      </c>
      <c r="F633" s="9">
        <v>1</v>
      </c>
      <c r="G633" s="9">
        <v>1</v>
      </c>
      <c r="H633" s="9">
        <v>1</v>
      </c>
      <c r="I633" s="9">
        <v>0</v>
      </c>
      <c r="J633" s="9">
        <v>0</v>
      </c>
      <c r="K633" s="9">
        <v>0</v>
      </c>
      <c r="L633" s="9">
        <v>0</v>
      </c>
      <c r="M633" s="9">
        <v>1</v>
      </c>
      <c r="N633" s="9">
        <v>1</v>
      </c>
      <c r="O633" s="9">
        <v>1</v>
      </c>
      <c r="P633" s="9">
        <v>1</v>
      </c>
      <c r="Q633" s="9">
        <v>1</v>
      </c>
      <c r="R633" s="9">
        <v>0</v>
      </c>
      <c r="S633" s="9">
        <v>0</v>
      </c>
      <c r="T633" s="9">
        <v>0</v>
      </c>
      <c r="U633" s="1">
        <f t="shared" si="5"/>
        <v>9</v>
      </c>
    </row>
    <row r="634" spans="2:21" ht="13.2" x14ac:dyDescent="0.25">
      <c r="B634" s="112" t="s">
        <v>174</v>
      </c>
      <c r="C634" s="9">
        <v>2018</v>
      </c>
      <c r="D634" s="9">
        <v>0</v>
      </c>
      <c r="E634" s="9">
        <v>0</v>
      </c>
      <c r="F634" s="9">
        <v>0</v>
      </c>
      <c r="G634" s="9">
        <v>0</v>
      </c>
      <c r="H634" s="9">
        <v>0</v>
      </c>
      <c r="I634" s="9">
        <v>0</v>
      </c>
      <c r="J634" s="9">
        <v>1</v>
      </c>
      <c r="K634" s="9">
        <v>1</v>
      </c>
      <c r="L634" s="9">
        <v>0</v>
      </c>
      <c r="M634" s="9">
        <v>0</v>
      </c>
      <c r="N634" s="9">
        <v>1</v>
      </c>
      <c r="O634" s="9">
        <v>1</v>
      </c>
      <c r="P634" s="9">
        <v>0</v>
      </c>
      <c r="Q634" s="9">
        <v>0</v>
      </c>
      <c r="R634" s="9">
        <v>0</v>
      </c>
      <c r="S634" s="9">
        <v>0</v>
      </c>
      <c r="T634" s="9">
        <v>0</v>
      </c>
      <c r="U634" s="1">
        <f t="shared" si="5"/>
        <v>4</v>
      </c>
    </row>
    <row r="635" spans="2:21" ht="13.2" x14ac:dyDescent="0.25">
      <c r="B635" s="109"/>
      <c r="C635" s="9">
        <v>2019</v>
      </c>
      <c r="D635" s="9">
        <v>0</v>
      </c>
      <c r="E635" s="9">
        <v>1</v>
      </c>
      <c r="F635" s="9">
        <v>0</v>
      </c>
      <c r="G635" s="9">
        <v>0</v>
      </c>
      <c r="H635" s="9">
        <v>0</v>
      </c>
      <c r="I635" s="9">
        <v>0</v>
      </c>
      <c r="J635" s="9">
        <v>1</v>
      </c>
      <c r="K635" s="9">
        <v>1</v>
      </c>
      <c r="L635" s="9">
        <v>0</v>
      </c>
      <c r="M635" s="9">
        <v>0</v>
      </c>
      <c r="N635" s="9">
        <v>0</v>
      </c>
      <c r="O635" s="9">
        <v>0</v>
      </c>
      <c r="P635" s="9">
        <v>1</v>
      </c>
      <c r="Q635" s="9">
        <v>0</v>
      </c>
      <c r="R635" s="9">
        <v>1</v>
      </c>
      <c r="S635" s="9">
        <v>0</v>
      </c>
      <c r="T635" s="9">
        <v>1</v>
      </c>
      <c r="U635" s="1">
        <f t="shared" si="5"/>
        <v>6</v>
      </c>
    </row>
    <row r="636" spans="2:21" ht="13.2" x14ac:dyDescent="0.25">
      <c r="B636" s="109"/>
      <c r="C636" s="9">
        <v>2020</v>
      </c>
      <c r="D636" s="9">
        <v>0</v>
      </c>
      <c r="E636" s="9">
        <v>1</v>
      </c>
      <c r="F636" s="9">
        <v>0</v>
      </c>
      <c r="G636" s="9">
        <v>0</v>
      </c>
      <c r="H636" s="9">
        <v>1</v>
      </c>
      <c r="I636" s="9">
        <v>1</v>
      </c>
      <c r="J636" s="9">
        <v>0</v>
      </c>
      <c r="K636" s="9">
        <v>0</v>
      </c>
      <c r="L636" s="9">
        <v>0</v>
      </c>
      <c r="M636" s="9">
        <v>1</v>
      </c>
      <c r="N636" s="9">
        <v>0</v>
      </c>
      <c r="O636" s="9">
        <v>0</v>
      </c>
      <c r="P636" s="9">
        <v>1</v>
      </c>
      <c r="Q636" s="9">
        <v>0</v>
      </c>
      <c r="R636" s="9">
        <v>0</v>
      </c>
      <c r="S636" s="9">
        <v>0</v>
      </c>
      <c r="T636" s="9">
        <v>0</v>
      </c>
      <c r="U636" s="1">
        <f t="shared" si="5"/>
        <v>5</v>
      </c>
    </row>
    <row r="637" spans="2:21" ht="13.2" x14ac:dyDescent="0.25">
      <c r="B637" s="109"/>
      <c r="C637" s="9">
        <v>2021</v>
      </c>
      <c r="D637" s="9">
        <v>1</v>
      </c>
      <c r="E637" s="9">
        <v>0</v>
      </c>
      <c r="F637" s="9">
        <v>0</v>
      </c>
      <c r="G637" s="9">
        <v>0</v>
      </c>
      <c r="H637" s="9">
        <v>1</v>
      </c>
      <c r="I637" s="9">
        <v>1</v>
      </c>
      <c r="J637" s="9">
        <v>0</v>
      </c>
      <c r="K637" s="9">
        <v>1</v>
      </c>
      <c r="L637" s="9">
        <v>1</v>
      </c>
      <c r="M637" s="9">
        <v>0</v>
      </c>
      <c r="N637" s="9">
        <v>0</v>
      </c>
      <c r="O637" s="9">
        <v>0</v>
      </c>
      <c r="P637" s="9">
        <v>1</v>
      </c>
      <c r="Q637" s="9">
        <v>0</v>
      </c>
      <c r="R637" s="9">
        <v>0</v>
      </c>
      <c r="S637" s="9">
        <v>1</v>
      </c>
      <c r="T637" s="9">
        <v>0</v>
      </c>
      <c r="U637" s="1">
        <f t="shared" si="5"/>
        <v>7</v>
      </c>
    </row>
    <row r="638" spans="2:21" ht="13.2" x14ac:dyDescent="0.25">
      <c r="B638" s="113"/>
      <c r="C638" s="9">
        <v>2022</v>
      </c>
      <c r="D638" s="9">
        <v>0</v>
      </c>
      <c r="E638" s="9">
        <v>0</v>
      </c>
      <c r="F638" s="9">
        <v>1</v>
      </c>
      <c r="G638" s="9">
        <v>0</v>
      </c>
      <c r="H638" s="9">
        <v>0</v>
      </c>
      <c r="I638" s="9">
        <v>0</v>
      </c>
      <c r="J638" s="9">
        <v>0</v>
      </c>
      <c r="K638" s="9">
        <v>0</v>
      </c>
      <c r="L638" s="9">
        <v>0</v>
      </c>
      <c r="M638" s="9">
        <v>0</v>
      </c>
      <c r="N638" s="9">
        <v>0</v>
      </c>
      <c r="O638" s="9">
        <v>1</v>
      </c>
      <c r="P638" s="9">
        <v>0</v>
      </c>
      <c r="Q638" s="9">
        <v>1</v>
      </c>
      <c r="R638" s="9">
        <v>1</v>
      </c>
      <c r="S638" s="9">
        <v>0</v>
      </c>
      <c r="T638" s="9">
        <v>1</v>
      </c>
      <c r="U638" s="1">
        <f t="shared" si="5"/>
        <v>5</v>
      </c>
    </row>
    <row r="639" spans="2:21" ht="13.2" x14ac:dyDescent="0.25">
      <c r="B639" s="112" t="s">
        <v>175</v>
      </c>
      <c r="C639" s="9">
        <v>2018</v>
      </c>
      <c r="D639" s="9">
        <v>0</v>
      </c>
      <c r="E639" s="9">
        <v>1</v>
      </c>
      <c r="F639" s="9">
        <v>0</v>
      </c>
      <c r="G639" s="9">
        <v>0</v>
      </c>
      <c r="H639" s="9">
        <v>1</v>
      </c>
      <c r="I639" s="9">
        <v>0</v>
      </c>
      <c r="J639" s="9">
        <v>1</v>
      </c>
      <c r="K639" s="9">
        <v>1</v>
      </c>
      <c r="L639" s="9">
        <v>0</v>
      </c>
      <c r="M639" s="9">
        <v>0</v>
      </c>
      <c r="N639" s="9">
        <v>1</v>
      </c>
      <c r="O639" s="9">
        <v>0</v>
      </c>
      <c r="P639" s="9">
        <v>1</v>
      </c>
      <c r="Q639" s="9">
        <v>1</v>
      </c>
      <c r="R639" s="9">
        <v>1</v>
      </c>
      <c r="S639" s="9">
        <v>1</v>
      </c>
      <c r="T639" s="9">
        <v>1</v>
      </c>
      <c r="U639" s="1">
        <f t="shared" si="5"/>
        <v>10</v>
      </c>
    </row>
    <row r="640" spans="2:21" ht="13.2" x14ac:dyDescent="0.25">
      <c r="B640" s="109"/>
      <c r="C640" s="9">
        <v>2019</v>
      </c>
      <c r="D640" s="9">
        <v>0</v>
      </c>
      <c r="E640" s="9">
        <v>0</v>
      </c>
      <c r="F640" s="9">
        <v>0</v>
      </c>
      <c r="G640" s="9">
        <v>0</v>
      </c>
      <c r="H640" s="9">
        <v>1</v>
      </c>
      <c r="I640" s="9">
        <v>1</v>
      </c>
      <c r="J640" s="9">
        <v>0</v>
      </c>
      <c r="K640" s="9">
        <v>1</v>
      </c>
      <c r="L640" s="9">
        <v>0</v>
      </c>
      <c r="M640" s="9">
        <v>1</v>
      </c>
      <c r="N640" s="9">
        <v>0</v>
      </c>
      <c r="O640" s="9">
        <v>1</v>
      </c>
      <c r="P640" s="9">
        <v>1</v>
      </c>
      <c r="Q640" s="9">
        <v>1</v>
      </c>
      <c r="R640" s="9">
        <v>1</v>
      </c>
      <c r="S640" s="9">
        <v>0</v>
      </c>
      <c r="T640" s="9">
        <v>0</v>
      </c>
      <c r="U640" s="1">
        <f t="shared" si="5"/>
        <v>8</v>
      </c>
    </row>
    <row r="641" spans="2:21" ht="13.2" x14ac:dyDescent="0.25">
      <c r="B641" s="109"/>
      <c r="C641" s="9">
        <v>2020</v>
      </c>
      <c r="D641" s="9">
        <v>1</v>
      </c>
      <c r="E641" s="9">
        <v>1</v>
      </c>
      <c r="F641" s="9">
        <v>1</v>
      </c>
      <c r="G641" s="9">
        <v>1</v>
      </c>
      <c r="H641" s="9">
        <v>1</v>
      </c>
      <c r="I641" s="9">
        <v>0</v>
      </c>
      <c r="J641" s="9">
        <v>1</v>
      </c>
      <c r="K641" s="9">
        <v>0</v>
      </c>
      <c r="L641" s="9">
        <v>1</v>
      </c>
      <c r="M641" s="9">
        <v>0</v>
      </c>
      <c r="N641" s="9">
        <v>1</v>
      </c>
      <c r="O641" s="9">
        <v>0</v>
      </c>
      <c r="P641" s="9">
        <v>1</v>
      </c>
      <c r="Q641" s="9">
        <v>0</v>
      </c>
      <c r="R641" s="9">
        <v>0</v>
      </c>
      <c r="S641" s="9">
        <v>0</v>
      </c>
      <c r="T641" s="9">
        <v>1</v>
      </c>
      <c r="U641" s="1">
        <f t="shared" si="5"/>
        <v>10</v>
      </c>
    </row>
    <row r="642" spans="2:21" ht="13.2" x14ac:dyDescent="0.25">
      <c r="B642" s="109"/>
      <c r="C642" s="9">
        <v>2021</v>
      </c>
      <c r="D642" s="9">
        <v>0</v>
      </c>
      <c r="E642" s="9">
        <v>1</v>
      </c>
      <c r="F642" s="9">
        <v>1</v>
      </c>
      <c r="G642" s="9">
        <v>0</v>
      </c>
      <c r="H642" s="9">
        <v>0</v>
      </c>
      <c r="I642" s="9">
        <v>0</v>
      </c>
      <c r="J642" s="9">
        <v>1</v>
      </c>
      <c r="K642" s="9">
        <v>0</v>
      </c>
      <c r="L642" s="9">
        <v>0</v>
      </c>
      <c r="M642" s="9">
        <v>0</v>
      </c>
      <c r="N642" s="9">
        <v>0</v>
      </c>
      <c r="O642" s="9">
        <v>1</v>
      </c>
      <c r="P642" s="9">
        <v>1</v>
      </c>
      <c r="Q642" s="9">
        <v>0</v>
      </c>
      <c r="R642" s="9">
        <v>1</v>
      </c>
      <c r="S642" s="9">
        <v>1</v>
      </c>
      <c r="T642" s="9">
        <v>0</v>
      </c>
      <c r="U642" s="1">
        <f t="shared" si="5"/>
        <v>7</v>
      </c>
    </row>
    <row r="643" spans="2:21" ht="13.2" x14ac:dyDescent="0.25">
      <c r="B643" s="113"/>
      <c r="C643" s="9">
        <v>2022</v>
      </c>
      <c r="D643" s="9">
        <v>1</v>
      </c>
      <c r="E643" s="9">
        <v>0</v>
      </c>
      <c r="F643" s="9">
        <v>1</v>
      </c>
      <c r="G643" s="9">
        <v>1</v>
      </c>
      <c r="H643" s="9">
        <v>0</v>
      </c>
      <c r="I643" s="9">
        <v>1</v>
      </c>
      <c r="J643" s="9">
        <v>1</v>
      </c>
      <c r="K643" s="9">
        <v>1</v>
      </c>
      <c r="L643" s="9">
        <v>0</v>
      </c>
      <c r="M643" s="9">
        <v>1</v>
      </c>
      <c r="N643" s="9">
        <v>1</v>
      </c>
      <c r="O643" s="9">
        <v>0</v>
      </c>
      <c r="P643" s="9">
        <v>0</v>
      </c>
      <c r="Q643" s="9">
        <v>1</v>
      </c>
      <c r="R643" s="9">
        <v>1</v>
      </c>
      <c r="S643" s="9">
        <v>1</v>
      </c>
      <c r="T643" s="9">
        <v>1</v>
      </c>
      <c r="U643" s="1">
        <f t="shared" si="5"/>
        <v>12</v>
      </c>
    </row>
    <row r="644" spans="2:21" ht="13.2" x14ac:dyDescent="0.25">
      <c r="B644" s="112" t="s">
        <v>176</v>
      </c>
      <c r="C644" s="9">
        <v>2018</v>
      </c>
      <c r="D644" s="9">
        <v>1</v>
      </c>
      <c r="E644" s="9">
        <v>1</v>
      </c>
      <c r="F644" s="9">
        <v>0</v>
      </c>
      <c r="G644" s="9">
        <v>1</v>
      </c>
      <c r="H644" s="9">
        <v>0</v>
      </c>
      <c r="I644" s="9">
        <v>1</v>
      </c>
      <c r="J644" s="9">
        <v>1</v>
      </c>
      <c r="K644" s="9">
        <v>0</v>
      </c>
      <c r="L644" s="9">
        <v>1</v>
      </c>
      <c r="M644" s="9">
        <v>1</v>
      </c>
      <c r="N644" s="9">
        <v>1</v>
      </c>
      <c r="O644" s="9">
        <v>0</v>
      </c>
      <c r="P644" s="9">
        <v>1</v>
      </c>
      <c r="Q644" s="9">
        <v>1</v>
      </c>
      <c r="R644" s="9">
        <v>1</v>
      </c>
      <c r="S644" s="9">
        <v>0</v>
      </c>
      <c r="T644" s="9">
        <v>1</v>
      </c>
      <c r="U644" s="1">
        <f t="shared" si="5"/>
        <v>12</v>
      </c>
    </row>
    <row r="645" spans="2:21" ht="13.2" x14ac:dyDescent="0.25">
      <c r="B645" s="109"/>
      <c r="C645" s="9">
        <v>2019</v>
      </c>
      <c r="D645" s="9">
        <v>1</v>
      </c>
      <c r="E645" s="9">
        <v>1</v>
      </c>
      <c r="F645" s="9">
        <v>0</v>
      </c>
      <c r="G645" s="9">
        <v>1</v>
      </c>
      <c r="H645" s="9">
        <v>1</v>
      </c>
      <c r="I645" s="9">
        <v>1</v>
      </c>
      <c r="J645" s="9">
        <v>0</v>
      </c>
      <c r="K645" s="9">
        <v>1</v>
      </c>
      <c r="L645" s="9">
        <v>0</v>
      </c>
      <c r="M645" s="9">
        <v>1</v>
      </c>
      <c r="N645" s="9">
        <v>0</v>
      </c>
      <c r="O645" s="9">
        <v>0</v>
      </c>
      <c r="P645" s="9">
        <v>1</v>
      </c>
      <c r="Q645" s="9">
        <v>1</v>
      </c>
      <c r="R645" s="9">
        <v>1</v>
      </c>
      <c r="S645" s="9">
        <v>0</v>
      </c>
      <c r="T645" s="9">
        <v>0</v>
      </c>
      <c r="U645" s="1">
        <f t="shared" si="5"/>
        <v>10</v>
      </c>
    </row>
    <row r="646" spans="2:21" ht="13.2" x14ac:dyDescent="0.25">
      <c r="B646" s="109"/>
      <c r="C646" s="9">
        <v>2020</v>
      </c>
      <c r="D646" s="9">
        <v>1</v>
      </c>
      <c r="E646" s="9">
        <v>0</v>
      </c>
      <c r="F646" s="9">
        <v>0</v>
      </c>
      <c r="G646" s="9">
        <v>0</v>
      </c>
      <c r="H646" s="9">
        <v>0</v>
      </c>
      <c r="I646" s="9">
        <v>0</v>
      </c>
      <c r="J646" s="9">
        <v>0</v>
      </c>
      <c r="K646" s="9">
        <v>1</v>
      </c>
      <c r="L646" s="9">
        <v>1</v>
      </c>
      <c r="M646" s="9">
        <v>1</v>
      </c>
      <c r="N646" s="9">
        <v>0</v>
      </c>
      <c r="O646" s="9">
        <v>0</v>
      </c>
      <c r="P646" s="9">
        <v>1</v>
      </c>
      <c r="Q646" s="9">
        <v>0</v>
      </c>
      <c r="R646" s="9">
        <v>0</v>
      </c>
      <c r="S646" s="9">
        <v>1</v>
      </c>
      <c r="T646" s="9">
        <v>1</v>
      </c>
      <c r="U646" s="1">
        <f t="shared" si="5"/>
        <v>7</v>
      </c>
    </row>
    <row r="647" spans="2:21" ht="13.2" x14ac:dyDescent="0.25">
      <c r="B647" s="109"/>
      <c r="C647" s="9">
        <v>2021</v>
      </c>
      <c r="D647" s="9">
        <v>0</v>
      </c>
      <c r="E647" s="9">
        <v>0</v>
      </c>
      <c r="F647" s="9">
        <v>0</v>
      </c>
      <c r="G647" s="9">
        <v>0</v>
      </c>
      <c r="H647" s="9">
        <v>1</v>
      </c>
      <c r="I647" s="9">
        <v>0</v>
      </c>
      <c r="J647" s="9">
        <v>0</v>
      </c>
      <c r="K647" s="9">
        <v>1</v>
      </c>
      <c r="L647" s="9">
        <v>0</v>
      </c>
      <c r="M647" s="9">
        <v>1</v>
      </c>
      <c r="N647" s="9">
        <v>0</v>
      </c>
      <c r="O647" s="9">
        <v>1</v>
      </c>
      <c r="P647" s="9">
        <v>1</v>
      </c>
      <c r="Q647" s="9">
        <v>1</v>
      </c>
      <c r="R647" s="9">
        <v>1</v>
      </c>
      <c r="S647" s="9">
        <v>1</v>
      </c>
      <c r="T647" s="9">
        <v>0</v>
      </c>
      <c r="U647" s="1">
        <f t="shared" si="5"/>
        <v>8</v>
      </c>
    </row>
    <row r="648" spans="2:21" ht="13.2" x14ac:dyDescent="0.25">
      <c r="B648" s="113"/>
      <c r="C648" s="9">
        <v>2022</v>
      </c>
      <c r="D648" s="9">
        <v>0</v>
      </c>
      <c r="E648" s="9">
        <v>1</v>
      </c>
      <c r="F648" s="9">
        <v>0</v>
      </c>
      <c r="G648" s="9">
        <v>0</v>
      </c>
      <c r="H648" s="9">
        <v>0</v>
      </c>
      <c r="I648" s="9">
        <v>1</v>
      </c>
      <c r="J648" s="9">
        <v>0</v>
      </c>
      <c r="K648" s="9">
        <v>0</v>
      </c>
      <c r="L648" s="9">
        <v>1</v>
      </c>
      <c r="M648" s="9">
        <v>1</v>
      </c>
      <c r="N648" s="9">
        <v>1</v>
      </c>
      <c r="O648" s="9">
        <v>0</v>
      </c>
      <c r="P648" s="9">
        <v>0</v>
      </c>
      <c r="Q648" s="9">
        <v>0</v>
      </c>
      <c r="R648" s="9">
        <v>0</v>
      </c>
      <c r="S648" s="9">
        <v>1</v>
      </c>
      <c r="T648" s="9">
        <v>1</v>
      </c>
      <c r="U648" s="1">
        <f t="shared" si="5"/>
        <v>7</v>
      </c>
    </row>
    <row r="649" spans="2:21" ht="13.2" x14ac:dyDescent="0.25">
      <c r="B649" s="112" t="s">
        <v>177</v>
      </c>
      <c r="C649" s="9">
        <v>2018</v>
      </c>
      <c r="D649" s="9">
        <v>1</v>
      </c>
      <c r="E649" s="9">
        <v>0</v>
      </c>
      <c r="F649" s="9">
        <v>1</v>
      </c>
      <c r="G649" s="9">
        <v>1</v>
      </c>
      <c r="H649" s="9">
        <v>1</v>
      </c>
      <c r="I649" s="9">
        <v>1</v>
      </c>
      <c r="J649" s="9">
        <v>0</v>
      </c>
      <c r="K649" s="9">
        <v>0</v>
      </c>
      <c r="L649" s="9">
        <v>1</v>
      </c>
      <c r="M649" s="9">
        <v>0</v>
      </c>
      <c r="N649" s="9">
        <v>0</v>
      </c>
      <c r="O649" s="9">
        <v>0</v>
      </c>
      <c r="P649" s="9">
        <v>1</v>
      </c>
      <c r="Q649" s="9">
        <v>1</v>
      </c>
      <c r="R649" s="9">
        <v>0</v>
      </c>
      <c r="S649" s="9">
        <v>1</v>
      </c>
      <c r="T649" s="9">
        <v>1</v>
      </c>
      <c r="U649" s="1">
        <f t="shared" si="5"/>
        <v>10</v>
      </c>
    </row>
    <row r="650" spans="2:21" ht="13.2" x14ac:dyDescent="0.25">
      <c r="B650" s="109"/>
      <c r="C650" s="9">
        <v>2019</v>
      </c>
      <c r="D650" s="9">
        <v>0</v>
      </c>
      <c r="E650" s="9">
        <v>0</v>
      </c>
      <c r="F650" s="9">
        <v>0</v>
      </c>
      <c r="G650" s="9">
        <v>1</v>
      </c>
      <c r="H650" s="9">
        <v>1</v>
      </c>
      <c r="I650" s="9">
        <v>0</v>
      </c>
      <c r="J650" s="9">
        <v>0</v>
      </c>
      <c r="K650" s="9">
        <v>0</v>
      </c>
      <c r="L650" s="9">
        <v>1</v>
      </c>
      <c r="M650" s="9">
        <v>1</v>
      </c>
      <c r="N650" s="9">
        <v>0</v>
      </c>
      <c r="O650" s="9">
        <v>0</v>
      </c>
      <c r="P650" s="9">
        <v>0</v>
      </c>
      <c r="Q650" s="9">
        <v>1</v>
      </c>
      <c r="R650" s="9">
        <v>0</v>
      </c>
      <c r="S650" s="9">
        <v>1</v>
      </c>
      <c r="T650" s="9">
        <v>1</v>
      </c>
      <c r="U650" s="1">
        <f t="shared" si="5"/>
        <v>7</v>
      </c>
    </row>
    <row r="651" spans="2:21" ht="13.2" x14ac:dyDescent="0.25">
      <c r="B651" s="109"/>
      <c r="C651" s="9">
        <v>2020</v>
      </c>
      <c r="D651" s="9">
        <v>1</v>
      </c>
      <c r="E651" s="9">
        <v>0</v>
      </c>
      <c r="F651" s="9">
        <v>1</v>
      </c>
      <c r="G651" s="9">
        <v>1</v>
      </c>
      <c r="H651" s="9">
        <v>1</v>
      </c>
      <c r="I651" s="9">
        <v>1</v>
      </c>
      <c r="J651" s="9">
        <v>0</v>
      </c>
      <c r="K651" s="9">
        <v>0</v>
      </c>
      <c r="L651" s="9">
        <v>0</v>
      </c>
      <c r="M651" s="9">
        <v>1</v>
      </c>
      <c r="N651" s="9">
        <v>1</v>
      </c>
      <c r="O651" s="9">
        <v>1</v>
      </c>
      <c r="P651" s="9">
        <v>0</v>
      </c>
      <c r="Q651" s="9">
        <v>0</v>
      </c>
      <c r="R651" s="9">
        <v>0</v>
      </c>
      <c r="S651" s="9">
        <v>0</v>
      </c>
      <c r="T651" s="9">
        <v>1</v>
      </c>
      <c r="U651" s="1">
        <f t="shared" si="5"/>
        <v>9</v>
      </c>
    </row>
    <row r="652" spans="2:21" ht="13.2" x14ac:dyDescent="0.25">
      <c r="B652" s="109"/>
      <c r="C652" s="9">
        <v>2021</v>
      </c>
      <c r="D652" s="9">
        <v>0</v>
      </c>
      <c r="E652" s="9">
        <v>1</v>
      </c>
      <c r="F652" s="9">
        <v>0</v>
      </c>
      <c r="G652" s="9">
        <v>0</v>
      </c>
      <c r="H652" s="9">
        <v>1</v>
      </c>
      <c r="I652" s="9">
        <v>1</v>
      </c>
      <c r="J652" s="9">
        <v>1</v>
      </c>
      <c r="K652" s="9">
        <v>0</v>
      </c>
      <c r="L652" s="9">
        <v>1</v>
      </c>
      <c r="M652" s="9">
        <v>0</v>
      </c>
      <c r="N652" s="9">
        <v>1</v>
      </c>
      <c r="O652" s="9">
        <v>1</v>
      </c>
      <c r="P652" s="9">
        <v>0</v>
      </c>
      <c r="Q652" s="9">
        <v>1</v>
      </c>
      <c r="R652" s="9">
        <v>0</v>
      </c>
      <c r="S652" s="9">
        <v>0</v>
      </c>
      <c r="T652" s="9">
        <v>0</v>
      </c>
      <c r="U652" s="1">
        <f t="shared" si="5"/>
        <v>8</v>
      </c>
    </row>
    <row r="653" spans="2:21" ht="13.2" x14ac:dyDescent="0.25">
      <c r="B653" s="113"/>
      <c r="C653" s="9">
        <v>2022</v>
      </c>
      <c r="D653" s="9">
        <v>0</v>
      </c>
      <c r="E653" s="9">
        <v>1</v>
      </c>
      <c r="F653" s="9">
        <v>0</v>
      </c>
      <c r="G653" s="9">
        <v>0</v>
      </c>
      <c r="H653" s="9">
        <v>1</v>
      </c>
      <c r="I653" s="9">
        <v>0</v>
      </c>
      <c r="J653" s="9">
        <v>1</v>
      </c>
      <c r="K653" s="9">
        <v>1</v>
      </c>
      <c r="L653" s="9">
        <v>0</v>
      </c>
      <c r="M653" s="9">
        <v>1</v>
      </c>
      <c r="N653" s="9">
        <v>0</v>
      </c>
      <c r="O653" s="9">
        <v>0</v>
      </c>
      <c r="P653" s="9">
        <v>0</v>
      </c>
      <c r="Q653" s="9">
        <v>0</v>
      </c>
      <c r="R653" s="9">
        <v>1</v>
      </c>
      <c r="S653" s="9">
        <v>0</v>
      </c>
      <c r="T653" s="9">
        <v>0</v>
      </c>
      <c r="U653" s="1">
        <f t="shared" si="5"/>
        <v>6</v>
      </c>
    </row>
    <row r="654" spans="2:21" ht="13.2" x14ac:dyDescent="0.25">
      <c r="B654" s="112" t="s">
        <v>178</v>
      </c>
      <c r="C654" s="9">
        <v>2018</v>
      </c>
      <c r="D654" s="9">
        <v>0</v>
      </c>
      <c r="E654" s="9">
        <v>1</v>
      </c>
      <c r="F654" s="9">
        <v>0</v>
      </c>
      <c r="G654" s="9">
        <v>1</v>
      </c>
      <c r="H654" s="9">
        <v>0</v>
      </c>
      <c r="I654" s="9">
        <v>1</v>
      </c>
      <c r="J654" s="9">
        <v>1</v>
      </c>
      <c r="K654" s="9">
        <v>0</v>
      </c>
      <c r="L654" s="9">
        <v>1</v>
      </c>
      <c r="M654" s="9">
        <v>0</v>
      </c>
      <c r="N654" s="9">
        <v>1</v>
      </c>
      <c r="O654" s="9">
        <v>0</v>
      </c>
      <c r="P654" s="9">
        <v>0</v>
      </c>
      <c r="Q654" s="9">
        <v>1</v>
      </c>
      <c r="R654" s="9">
        <v>1</v>
      </c>
      <c r="S654" s="9">
        <v>0</v>
      </c>
      <c r="T654" s="9">
        <v>0</v>
      </c>
      <c r="U654" s="1">
        <f t="shared" si="5"/>
        <v>8</v>
      </c>
    </row>
    <row r="655" spans="2:21" ht="13.2" x14ac:dyDescent="0.25">
      <c r="B655" s="109"/>
      <c r="C655" s="9">
        <v>2019</v>
      </c>
      <c r="D655" s="9">
        <v>1</v>
      </c>
      <c r="E655" s="9">
        <v>1</v>
      </c>
      <c r="F655" s="9">
        <v>0</v>
      </c>
      <c r="G655" s="9">
        <v>0</v>
      </c>
      <c r="H655" s="9">
        <v>1</v>
      </c>
      <c r="I655" s="9">
        <v>0</v>
      </c>
      <c r="J655" s="9">
        <v>0</v>
      </c>
      <c r="K655" s="9">
        <v>0</v>
      </c>
      <c r="L655" s="9">
        <v>0</v>
      </c>
      <c r="M655" s="9">
        <v>0</v>
      </c>
      <c r="N655" s="9">
        <v>0</v>
      </c>
      <c r="O655" s="9">
        <v>1</v>
      </c>
      <c r="P655" s="9">
        <v>0</v>
      </c>
      <c r="Q655" s="9">
        <v>0</v>
      </c>
      <c r="R655" s="9">
        <v>0</v>
      </c>
      <c r="S655" s="9">
        <v>0</v>
      </c>
      <c r="T655" s="9">
        <v>0</v>
      </c>
      <c r="U655" s="1">
        <f t="shared" si="5"/>
        <v>4</v>
      </c>
    </row>
    <row r="656" spans="2:21" ht="13.2" x14ac:dyDescent="0.25">
      <c r="B656" s="109"/>
      <c r="C656" s="9">
        <v>2020</v>
      </c>
      <c r="D656" s="9">
        <v>0</v>
      </c>
      <c r="E656" s="9">
        <v>1</v>
      </c>
      <c r="F656" s="9">
        <v>1</v>
      </c>
      <c r="G656" s="9">
        <v>1</v>
      </c>
      <c r="H656" s="9">
        <v>1</v>
      </c>
      <c r="I656" s="9">
        <v>0</v>
      </c>
      <c r="J656" s="9">
        <v>1</v>
      </c>
      <c r="K656" s="9">
        <v>0</v>
      </c>
      <c r="L656" s="9">
        <v>0</v>
      </c>
      <c r="M656" s="9">
        <v>1</v>
      </c>
      <c r="N656" s="9">
        <v>1</v>
      </c>
      <c r="O656" s="9">
        <v>1</v>
      </c>
      <c r="P656" s="9">
        <v>1</v>
      </c>
      <c r="Q656" s="9">
        <v>1</v>
      </c>
      <c r="R656" s="9">
        <v>0</v>
      </c>
      <c r="S656" s="9">
        <v>1</v>
      </c>
      <c r="T656" s="9">
        <v>1</v>
      </c>
      <c r="U656" s="1">
        <f t="shared" si="5"/>
        <v>12</v>
      </c>
    </row>
    <row r="657" spans="2:21" ht="13.2" x14ac:dyDescent="0.25">
      <c r="B657" s="109"/>
      <c r="C657" s="9">
        <v>2021</v>
      </c>
      <c r="D657" s="9">
        <v>0</v>
      </c>
      <c r="E657" s="9">
        <v>0</v>
      </c>
      <c r="F657" s="9">
        <v>0</v>
      </c>
      <c r="G657" s="9">
        <v>0</v>
      </c>
      <c r="H657" s="9">
        <v>0</v>
      </c>
      <c r="I657" s="9">
        <v>0</v>
      </c>
      <c r="J657" s="9">
        <v>0</v>
      </c>
      <c r="K657" s="9">
        <v>0</v>
      </c>
      <c r="L657" s="9">
        <v>0</v>
      </c>
      <c r="M657" s="9">
        <v>0</v>
      </c>
      <c r="N657" s="9">
        <v>0</v>
      </c>
      <c r="O657" s="9">
        <v>1</v>
      </c>
      <c r="P657" s="9">
        <v>1</v>
      </c>
      <c r="Q657" s="9">
        <v>1</v>
      </c>
      <c r="R657" s="9">
        <v>1</v>
      </c>
      <c r="S657" s="9">
        <v>0</v>
      </c>
      <c r="T657" s="9">
        <v>1</v>
      </c>
      <c r="U657" s="1">
        <f t="shared" si="5"/>
        <v>5</v>
      </c>
    </row>
    <row r="658" spans="2:21" ht="13.2" x14ac:dyDescent="0.25">
      <c r="B658" s="113"/>
      <c r="C658" s="9">
        <v>2022</v>
      </c>
      <c r="D658" s="9">
        <v>0</v>
      </c>
      <c r="E658" s="9">
        <v>0</v>
      </c>
      <c r="F658" s="9">
        <v>1</v>
      </c>
      <c r="G658" s="9">
        <v>1</v>
      </c>
      <c r="H658" s="9">
        <v>0</v>
      </c>
      <c r="I658" s="9">
        <v>0</v>
      </c>
      <c r="J658" s="9">
        <v>0</v>
      </c>
      <c r="K658" s="9">
        <v>0</v>
      </c>
      <c r="L658" s="9">
        <v>0</v>
      </c>
      <c r="M658" s="9">
        <v>0</v>
      </c>
      <c r="N658" s="9">
        <v>0</v>
      </c>
      <c r="O658" s="9">
        <v>1</v>
      </c>
      <c r="P658" s="9">
        <v>1</v>
      </c>
      <c r="Q658" s="9">
        <v>0</v>
      </c>
      <c r="R658" s="9">
        <v>0</v>
      </c>
      <c r="S658" s="9">
        <v>0</v>
      </c>
      <c r="T658" s="9">
        <v>0</v>
      </c>
      <c r="U658" s="1">
        <f t="shared" si="5"/>
        <v>4</v>
      </c>
    </row>
    <row r="659" spans="2:21" ht="13.2" x14ac:dyDescent="0.25">
      <c r="B659" s="112" t="s">
        <v>179</v>
      </c>
      <c r="C659" s="9">
        <v>2018</v>
      </c>
      <c r="D659" s="9">
        <v>0</v>
      </c>
      <c r="E659" s="9">
        <v>1</v>
      </c>
      <c r="F659" s="9">
        <v>0</v>
      </c>
      <c r="G659" s="9">
        <v>0</v>
      </c>
      <c r="H659" s="9">
        <v>0</v>
      </c>
      <c r="I659" s="9">
        <v>1</v>
      </c>
      <c r="J659" s="9">
        <v>1</v>
      </c>
      <c r="K659" s="9">
        <v>1</v>
      </c>
      <c r="L659" s="9">
        <v>1</v>
      </c>
      <c r="M659" s="9">
        <v>0</v>
      </c>
      <c r="N659" s="9">
        <v>1</v>
      </c>
      <c r="O659" s="9">
        <v>1</v>
      </c>
      <c r="P659" s="9">
        <v>1</v>
      </c>
      <c r="Q659" s="9">
        <v>1</v>
      </c>
      <c r="R659" s="9">
        <v>1</v>
      </c>
      <c r="S659" s="9">
        <v>1</v>
      </c>
      <c r="T659" s="9">
        <v>1</v>
      </c>
      <c r="U659" s="1">
        <f t="shared" si="5"/>
        <v>12</v>
      </c>
    </row>
    <row r="660" spans="2:21" ht="13.2" x14ac:dyDescent="0.25">
      <c r="B660" s="109"/>
      <c r="C660" s="9">
        <v>2019</v>
      </c>
      <c r="D660" s="9">
        <v>1</v>
      </c>
      <c r="E660" s="9">
        <v>0</v>
      </c>
      <c r="F660" s="9">
        <v>1</v>
      </c>
      <c r="G660" s="9">
        <v>1</v>
      </c>
      <c r="H660" s="9">
        <v>1</v>
      </c>
      <c r="I660" s="9">
        <v>1</v>
      </c>
      <c r="J660" s="9">
        <v>1</v>
      </c>
      <c r="K660" s="9">
        <v>1</v>
      </c>
      <c r="L660" s="9">
        <v>1</v>
      </c>
      <c r="M660" s="9">
        <v>1</v>
      </c>
      <c r="N660" s="9">
        <v>1</v>
      </c>
      <c r="O660" s="9">
        <v>1</v>
      </c>
      <c r="P660" s="9">
        <v>0</v>
      </c>
      <c r="Q660" s="9">
        <v>0</v>
      </c>
      <c r="R660" s="9">
        <v>0</v>
      </c>
      <c r="S660" s="9">
        <v>0</v>
      </c>
      <c r="T660" s="9">
        <v>0</v>
      </c>
      <c r="U660" s="1">
        <f t="shared" si="5"/>
        <v>11</v>
      </c>
    </row>
    <row r="661" spans="2:21" ht="13.2" x14ac:dyDescent="0.25">
      <c r="B661" s="109"/>
      <c r="C661" s="9">
        <v>2020</v>
      </c>
      <c r="D661" s="9">
        <v>1</v>
      </c>
      <c r="E661" s="9">
        <v>1</v>
      </c>
      <c r="F661" s="9">
        <v>1</v>
      </c>
      <c r="G661" s="9">
        <v>0</v>
      </c>
      <c r="H661" s="9">
        <v>1</v>
      </c>
      <c r="I661" s="9">
        <v>1</v>
      </c>
      <c r="J661" s="9">
        <v>1</v>
      </c>
      <c r="K661" s="9">
        <v>0</v>
      </c>
      <c r="L661" s="9">
        <v>0</v>
      </c>
      <c r="M661" s="9">
        <v>0</v>
      </c>
      <c r="N661" s="9">
        <v>1</v>
      </c>
      <c r="O661" s="9">
        <v>1</v>
      </c>
      <c r="P661" s="9">
        <v>0</v>
      </c>
      <c r="Q661" s="9">
        <v>0</v>
      </c>
      <c r="R661" s="9">
        <v>0</v>
      </c>
      <c r="S661" s="9">
        <v>0</v>
      </c>
      <c r="T661" s="9">
        <v>1</v>
      </c>
      <c r="U661" s="1">
        <f t="shared" si="5"/>
        <v>9</v>
      </c>
    </row>
    <row r="662" spans="2:21" ht="13.2" x14ac:dyDescent="0.25">
      <c r="B662" s="109"/>
      <c r="C662" s="9">
        <v>2021</v>
      </c>
      <c r="D662" s="9">
        <v>1</v>
      </c>
      <c r="E662" s="9">
        <v>0</v>
      </c>
      <c r="F662" s="9">
        <v>0</v>
      </c>
      <c r="G662" s="9">
        <v>0</v>
      </c>
      <c r="H662" s="9">
        <v>0</v>
      </c>
      <c r="I662" s="9">
        <v>0</v>
      </c>
      <c r="J662" s="9">
        <v>0</v>
      </c>
      <c r="K662" s="9">
        <v>0</v>
      </c>
      <c r="L662" s="9">
        <v>1</v>
      </c>
      <c r="M662" s="9">
        <v>1</v>
      </c>
      <c r="N662" s="9">
        <v>1</v>
      </c>
      <c r="O662" s="9">
        <v>1</v>
      </c>
      <c r="P662" s="9">
        <v>1</v>
      </c>
      <c r="Q662" s="9">
        <v>0</v>
      </c>
      <c r="R662" s="9">
        <v>1</v>
      </c>
      <c r="S662" s="9">
        <v>1</v>
      </c>
      <c r="T662" s="9">
        <v>1</v>
      </c>
      <c r="U662" s="1">
        <f t="shared" si="5"/>
        <v>9</v>
      </c>
    </row>
    <row r="663" spans="2:21" ht="13.2" x14ac:dyDescent="0.25">
      <c r="B663" s="113"/>
      <c r="C663" s="9">
        <v>2022</v>
      </c>
      <c r="D663" s="9">
        <v>0</v>
      </c>
      <c r="E663" s="9">
        <v>1</v>
      </c>
      <c r="F663" s="9">
        <v>0</v>
      </c>
      <c r="G663" s="9">
        <v>0</v>
      </c>
      <c r="H663" s="9">
        <v>1</v>
      </c>
      <c r="I663" s="9">
        <v>0</v>
      </c>
      <c r="J663" s="9">
        <v>1</v>
      </c>
      <c r="K663" s="9">
        <v>1</v>
      </c>
      <c r="L663" s="9">
        <v>1</v>
      </c>
      <c r="M663" s="9">
        <v>0</v>
      </c>
      <c r="N663" s="9">
        <v>0</v>
      </c>
      <c r="O663" s="9">
        <v>0</v>
      </c>
      <c r="P663" s="9">
        <v>1</v>
      </c>
      <c r="Q663" s="9">
        <v>1</v>
      </c>
      <c r="R663" s="9">
        <v>0</v>
      </c>
      <c r="S663" s="9">
        <v>0</v>
      </c>
      <c r="T663" s="9">
        <v>1</v>
      </c>
      <c r="U663" s="1">
        <f t="shared" si="5"/>
        <v>8</v>
      </c>
    </row>
    <row r="664" spans="2:21" ht="13.2" x14ac:dyDescent="0.25">
      <c r="B664" s="112" t="s">
        <v>180</v>
      </c>
      <c r="C664" s="9">
        <v>2018</v>
      </c>
      <c r="D664" s="9">
        <v>0</v>
      </c>
      <c r="E664" s="9">
        <v>1</v>
      </c>
      <c r="F664" s="9">
        <v>0</v>
      </c>
      <c r="G664" s="9">
        <v>1</v>
      </c>
      <c r="H664" s="9">
        <v>1</v>
      </c>
      <c r="I664" s="9">
        <v>1</v>
      </c>
      <c r="J664" s="9">
        <v>0</v>
      </c>
      <c r="K664" s="9">
        <v>1</v>
      </c>
      <c r="L664" s="9">
        <v>1</v>
      </c>
      <c r="M664" s="9">
        <v>1</v>
      </c>
      <c r="N664" s="9">
        <v>0</v>
      </c>
      <c r="O664" s="9">
        <v>1</v>
      </c>
      <c r="P664" s="9">
        <v>1</v>
      </c>
      <c r="Q664" s="9">
        <v>0</v>
      </c>
      <c r="R664" s="9">
        <v>1</v>
      </c>
      <c r="S664" s="9">
        <v>1</v>
      </c>
      <c r="T664" s="9">
        <v>0</v>
      </c>
      <c r="U664" s="1">
        <f t="shared" si="5"/>
        <v>11</v>
      </c>
    </row>
    <row r="665" spans="2:21" ht="13.2" x14ac:dyDescent="0.25">
      <c r="B665" s="109"/>
      <c r="C665" s="9">
        <v>2019</v>
      </c>
      <c r="D665" s="9">
        <v>1</v>
      </c>
      <c r="E665" s="9">
        <v>0</v>
      </c>
      <c r="F665" s="9">
        <v>1</v>
      </c>
      <c r="G665" s="9">
        <v>1</v>
      </c>
      <c r="H665" s="9">
        <v>0</v>
      </c>
      <c r="I665" s="9">
        <v>0</v>
      </c>
      <c r="J665" s="9">
        <v>1</v>
      </c>
      <c r="K665" s="9">
        <v>1</v>
      </c>
      <c r="L665" s="9">
        <v>1</v>
      </c>
      <c r="M665" s="9">
        <v>1</v>
      </c>
      <c r="N665" s="9">
        <v>0</v>
      </c>
      <c r="O665" s="9">
        <v>1</v>
      </c>
      <c r="P665" s="9">
        <v>0</v>
      </c>
      <c r="Q665" s="9">
        <v>0</v>
      </c>
      <c r="R665" s="9">
        <v>0</v>
      </c>
      <c r="S665" s="9">
        <v>0</v>
      </c>
      <c r="T665" s="9">
        <v>0</v>
      </c>
      <c r="U665" s="1">
        <f t="shared" si="5"/>
        <v>8</v>
      </c>
    </row>
    <row r="666" spans="2:21" ht="13.2" x14ac:dyDescent="0.25">
      <c r="B666" s="109"/>
      <c r="C666" s="9">
        <v>2020</v>
      </c>
      <c r="D666" s="9">
        <v>0</v>
      </c>
      <c r="E666" s="9">
        <v>1</v>
      </c>
      <c r="F666" s="9">
        <v>1</v>
      </c>
      <c r="G666" s="9">
        <v>1</v>
      </c>
      <c r="H666" s="9">
        <v>1</v>
      </c>
      <c r="I666" s="9">
        <v>0</v>
      </c>
      <c r="J666" s="9">
        <v>0</v>
      </c>
      <c r="K666" s="9">
        <v>1</v>
      </c>
      <c r="L666" s="9">
        <v>1</v>
      </c>
      <c r="M666" s="9">
        <v>0</v>
      </c>
      <c r="N666" s="9">
        <v>0</v>
      </c>
      <c r="O666" s="9">
        <v>0</v>
      </c>
      <c r="P666" s="9">
        <v>0</v>
      </c>
      <c r="Q666" s="9">
        <v>1</v>
      </c>
      <c r="R666" s="9">
        <v>0</v>
      </c>
      <c r="S666" s="9">
        <v>1</v>
      </c>
      <c r="T666" s="9">
        <v>0</v>
      </c>
      <c r="U666" s="1">
        <f t="shared" si="5"/>
        <v>8</v>
      </c>
    </row>
    <row r="667" spans="2:21" ht="13.2" x14ac:dyDescent="0.25">
      <c r="B667" s="109"/>
      <c r="C667" s="9">
        <v>2021</v>
      </c>
      <c r="D667" s="9">
        <v>1</v>
      </c>
      <c r="E667" s="9">
        <v>0</v>
      </c>
      <c r="F667" s="9">
        <v>0</v>
      </c>
      <c r="G667" s="9">
        <v>0</v>
      </c>
      <c r="H667" s="9">
        <v>0</v>
      </c>
      <c r="I667" s="9">
        <v>1</v>
      </c>
      <c r="J667" s="9">
        <v>0</v>
      </c>
      <c r="K667" s="9">
        <v>0</v>
      </c>
      <c r="L667" s="9">
        <v>0</v>
      </c>
      <c r="M667" s="9">
        <v>0</v>
      </c>
      <c r="N667" s="9">
        <v>0</v>
      </c>
      <c r="O667" s="9">
        <v>1</v>
      </c>
      <c r="P667" s="9">
        <v>0</v>
      </c>
      <c r="Q667" s="9">
        <v>0</v>
      </c>
      <c r="R667" s="9">
        <v>1</v>
      </c>
      <c r="S667" s="9">
        <v>0</v>
      </c>
      <c r="T667" s="9">
        <v>0</v>
      </c>
      <c r="U667" s="1">
        <f t="shared" si="5"/>
        <v>4</v>
      </c>
    </row>
    <row r="668" spans="2:21" ht="13.2" x14ac:dyDescent="0.25">
      <c r="B668" s="113"/>
      <c r="C668" s="9">
        <v>2022</v>
      </c>
      <c r="D668" s="9">
        <v>0</v>
      </c>
      <c r="E668" s="9">
        <v>0</v>
      </c>
      <c r="F668" s="9">
        <v>1</v>
      </c>
      <c r="G668" s="9">
        <v>0</v>
      </c>
      <c r="H668" s="9">
        <v>1</v>
      </c>
      <c r="I668" s="9">
        <v>0</v>
      </c>
      <c r="J668" s="9">
        <v>0</v>
      </c>
      <c r="K668" s="9">
        <v>0</v>
      </c>
      <c r="L668" s="9">
        <v>1</v>
      </c>
      <c r="M668" s="9">
        <v>0</v>
      </c>
      <c r="N668" s="9">
        <v>1</v>
      </c>
      <c r="O668" s="9">
        <v>0</v>
      </c>
      <c r="P668" s="9">
        <v>0</v>
      </c>
      <c r="Q668" s="9">
        <v>0</v>
      </c>
      <c r="R668" s="9">
        <v>0</v>
      </c>
      <c r="S668" s="9">
        <v>0</v>
      </c>
      <c r="T668" s="9">
        <v>1</v>
      </c>
      <c r="U668" s="1">
        <f t="shared" si="5"/>
        <v>5</v>
      </c>
    </row>
    <row r="669" spans="2:21" ht="13.2" x14ac:dyDescent="0.25">
      <c r="B669" s="112" t="s">
        <v>181</v>
      </c>
      <c r="C669" s="9">
        <v>2018</v>
      </c>
      <c r="D669" s="9">
        <v>0</v>
      </c>
      <c r="E669" s="9">
        <v>1</v>
      </c>
      <c r="F669" s="9">
        <v>1</v>
      </c>
      <c r="G669" s="9">
        <v>1</v>
      </c>
      <c r="H669" s="9">
        <v>1</v>
      </c>
      <c r="I669" s="9">
        <v>1</v>
      </c>
      <c r="J669" s="9">
        <v>1</v>
      </c>
      <c r="K669" s="9">
        <v>0</v>
      </c>
      <c r="L669" s="9">
        <v>0</v>
      </c>
      <c r="M669" s="9">
        <v>0</v>
      </c>
      <c r="N669" s="9">
        <v>0</v>
      </c>
      <c r="O669" s="9">
        <v>1</v>
      </c>
      <c r="P669" s="9">
        <v>1</v>
      </c>
      <c r="Q669" s="9">
        <v>1</v>
      </c>
      <c r="R669" s="9">
        <v>1</v>
      </c>
      <c r="S669" s="9">
        <v>0</v>
      </c>
      <c r="T669" s="9">
        <v>1</v>
      </c>
      <c r="U669" s="1">
        <f t="shared" si="5"/>
        <v>11</v>
      </c>
    </row>
    <row r="670" spans="2:21" ht="13.2" x14ac:dyDescent="0.25">
      <c r="B670" s="109"/>
      <c r="C670" s="9">
        <v>2019</v>
      </c>
      <c r="D670" s="9">
        <v>1</v>
      </c>
      <c r="E670" s="9">
        <v>0</v>
      </c>
      <c r="F670" s="9">
        <v>0</v>
      </c>
      <c r="G670" s="9">
        <v>0</v>
      </c>
      <c r="H670" s="9">
        <v>0</v>
      </c>
      <c r="I670" s="9">
        <v>1</v>
      </c>
      <c r="J670" s="9">
        <v>0</v>
      </c>
      <c r="K670" s="9">
        <v>0</v>
      </c>
      <c r="L670" s="9">
        <v>1</v>
      </c>
      <c r="M670" s="9">
        <v>1</v>
      </c>
      <c r="N670" s="9">
        <v>0</v>
      </c>
      <c r="O670" s="9">
        <v>1</v>
      </c>
      <c r="P670" s="9">
        <v>0</v>
      </c>
      <c r="Q670" s="9">
        <v>0</v>
      </c>
      <c r="R670" s="9">
        <v>0</v>
      </c>
      <c r="S670" s="9">
        <v>0</v>
      </c>
      <c r="T670" s="9">
        <v>0</v>
      </c>
      <c r="U670" s="1">
        <f t="shared" si="5"/>
        <v>5</v>
      </c>
    </row>
    <row r="671" spans="2:21" ht="13.2" x14ac:dyDescent="0.25">
      <c r="B671" s="109"/>
      <c r="C671" s="9">
        <v>2020</v>
      </c>
      <c r="D671" s="9">
        <v>1</v>
      </c>
      <c r="E671" s="9">
        <v>1</v>
      </c>
      <c r="F671" s="9">
        <v>1</v>
      </c>
      <c r="G671" s="9">
        <v>1</v>
      </c>
      <c r="H671" s="9">
        <v>1</v>
      </c>
      <c r="I671" s="9">
        <v>1</v>
      </c>
      <c r="J671" s="9">
        <v>0</v>
      </c>
      <c r="K671" s="9">
        <v>1</v>
      </c>
      <c r="L671" s="9">
        <v>0</v>
      </c>
      <c r="M671" s="9">
        <v>0</v>
      </c>
      <c r="N671" s="9">
        <v>1</v>
      </c>
      <c r="O671" s="9">
        <v>1</v>
      </c>
      <c r="P671" s="9">
        <v>0</v>
      </c>
      <c r="Q671" s="9">
        <v>0</v>
      </c>
      <c r="R671" s="9">
        <v>1</v>
      </c>
      <c r="S671" s="9">
        <v>0</v>
      </c>
      <c r="T671" s="9">
        <v>0</v>
      </c>
      <c r="U671" s="1">
        <f t="shared" si="5"/>
        <v>10</v>
      </c>
    </row>
    <row r="672" spans="2:21" ht="13.2" x14ac:dyDescent="0.25">
      <c r="B672" s="109"/>
      <c r="C672" s="9">
        <v>2021</v>
      </c>
      <c r="D672" s="9">
        <v>1</v>
      </c>
      <c r="E672" s="9">
        <v>1</v>
      </c>
      <c r="F672" s="9">
        <v>0</v>
      </c>
      <c r="G672" s="9">
        <v>0</v>
      </c>
      <c r="H672" s="9">
        <v>1</v>
      </c>
      <c r="I672" s="9">
        <v>1</v>
      </c>
      <c r="J672" s="9">
        <v>0</v>
      </c>
      <c r="K672" s="9">
        <v>1</v>
      </c>
      <c r="L672" s="9">
        <v>1</v>
      </c>
      <c r="M672" s="9">
        <v>1</v>
      </c>
      <c r="N672" s="9">
        <v>0</v>
      </c>
      <c r="O672" s="9">
        <v>1</v>
      </c>
      <c r="P672" s="9">
        <v>1</v>
      </c>
      <c r="Q672" s="9">
        <v>0</v>
      </c>
      <c r="R672" s="9">
        <v>1</v>
      </c>
      <c r="S672" s="9">
        <v>0</v>
      </c>
      <c r="T672" s="9">
        <v>1</v>
      </c>
      <c r="U672" s="1">
        <f t="shared" si="5"/>
        <v>11</v>
      </c>
    </row>
    <row r="673" spans="2:21" ht="13.2" x14ac:dyDescent="0.25">
      <c r="B673" s="113"/>
      <c r="C673" s="9">
        <v>2022</v>
      </c>
      <c r="D673" s="9">
        <v>1</v>
      </c>
      <c r="E673" s="9">
        <v>1</v>
      </c>
      <c r="F673" s="9">
        <v>1</v>
      </c>
      <c r="G673" s="9">
        <v>1</v>
      </c>
      <c r="H673" s="9">
        <v>1</v>
      </c>
      <c r="I673" s="9">
        <v>1</v>
      </c>
      <c r="J673" s="9">
        <v>0</v>
      </c>
      <c r="K673" s="9">
        <v>0</v>
      </c>
      <c r="L673" s="9">
        <v>1</v>
      </c>
      <c r="M673" s="9">
        <v>0</v>
      </c>
      <c r="N673" s="9">
        <v>1</v>
      </c>
      <c r="O673" s="9">
        <v>0</v>
      </c>
      <c r="P673" s="9">
        <v>0</v>
      </c>
      <c r="Q673" s="9">
        <v>1</v>
      </c>
      <c r="R673" s="9">
        <v>1</v>
      </c>
      <c r="S673" s="9">
        <v>0</v>
      </c>
      <c r="T673" s="9">
        <v>1</v>
      </c>
      <c r="U673" s="1">
        <f t="shared" si="5"/>
        <v>11</v>
      </c>
    </row>
    <row r="674" spans="2:21" ht="13.2" x14ac:dyDescent="0.25">
      <c r="B674" s="112" t="s">
        <v>182</v>
      </c>
      <c r="C674" s="9">
        <v>2018</v>
      </c>
      <c r="D674" s="9">
        <v>0</v>
      </c>
      <c r="E674" s="9">
        <v>1</v>
      </c>
      <c r="F674" s="9">
        <v>0</v>
      </c>
      <c r="G674" s="9">
        <v>0</v>
      </c>
      <c r="H674" s="9">
        <v>1</v>
      </c>
      <c r="I674" s="9">
        <v>0</v>
      </c>
      <c r="J674" s="9">
        <v>0</v>
      </c>
      <c r="K674" s="9">
        <v>1</v>
      </c>
      <c r="L674" s="9">
        <v>1</v>
      </c>
      <c r="M674" s="9">
        <v>1</v>
      </c>
      <c r="N674" s="9">
        <v>1</v>
      </c>
      <c r="O674" s="9">
        <v>1</v>
      </c>
      <c r="P674" s="9">
        <v>1</v>
      </c>
      <c r="Q674" s="9">
        <v>1</v>
      </c>
      <c r="R674" s="9">
        <v>1</v>
      </c>
      <c r="S674" s="9">
        <v>0</v>
      </c>
      <c r="T674" s="9">
        <v>0</v>
      </c>
      <c r="U674" s="1">
        <f t="shared" si="5"/>
        <v>10</v>
      </c>
    </row>
    <row r="675" spans="2:21" ht="13.2" x14ac:dyDescent="0.25">
      <c r="B675" s="109"/>
      <c r="C675" s="9">
        <v>2019</v>
      </c>
      <c r="D675" s="9">
        <v>0</v>
      </c>
      <c r="E675" s="9">
        <v>0</v>
      </c>
      <c r="F675" s="9">
        <v>1</v>
      </c>
      <c r="G675" s="9">
        <v>0</v>
      </c>
      <c r="H675" s="9">
        <v>0</v>
      </c>
      <c r="I675" s="9">
        <v>0</v>
      </c>
      <c r="J675" s="9">
        <v>0</v>
      </c>
      <c r="K675" s="9">
        <v>1</v>
      </c>
      <c r="L675" s="9">
        <v>0</v>
      </c>
      <c r="M675" s="9">
        <v>0</v>
      </c>
      <c r="N675" s="9">
        <v>0</v>
      </c>
      <c r="O675" s="9">
        <v>0</v>
      </c>
      <c r="P675" s="9">
        <v>0</v>
      </c>
      <c r="Q675" s="9">
        <v>0</v>
      </c>
      <c r="R675" s="9">
        <v>0</v>
      </c>
      <c r="S675" s="9">
        <v>0</v>
      </c>
      <c r="T675" s="9">
        <v>1</v>
      </c>
      <c r="U675" s="1">
        <f t="shared" si="5"/>
        <v>3</v>
      </c>
    </row>
    <row r="676" spans="2:21" ht="13.2" x14ac:dyDescent="0.25">
      <c r="B676" s="109"/>
      <c r="C676" s="9">
        <v>2020</v>
      </c>
      <c r="D676" s="9">
        <v>0</v>
      </c>
      <c r="E676" s="9">
        <v>1</v>
      </c>
      <c r="F676" s="9">
        <v>0</v>
      </c>
      <c r="G676" s="9">
        <v>0</v>
      </c>
      <c r="H676" s="9">
        <v>0</v>
      </c>
      <c r="I676" s="9">
        <v>1</v>
      </c>
      <c r="J676" s="9">
        <v>0</v>
      </c>
      <c r="K676" s="9">
        <v>1</v>
      </c>
      <c r="L676" s="9">
        <v>1</v>
      </c>
      <c r="M676" s="9">
        <v>0</v>
      </c>
      <c r="N676" s="9">
        <v>0</v>
      </c>
      <c r="O676" s="9">
        <v>0</v>
      </c>
      <c r="P676" s="9">
        <v>1</v>
      </c>
      <c r="Q676" s="9">
        <v>0</v>
      </c>
      <c r="R676" s="9">
        <v>0</v>
      </c>
      <c r="S676" s="9">
        <v>0</v>
      </c>
      <c r="T676" s="9">
        <v>1</v>
      </c>
      <c r="U676" s="1">
        <f t="shared" si="5"/>
        <v>6</v>
      </c>
    </row>
    <row r="677" spans="2:21" ht="13.2" x14ac:dyDescent="0.25">
      <c r="B677" s="109"/>
      <c r="C677" s="9">
        <v>2021</v>
      </c>
      <c r="D677" s="9">
        <v>1</v>
      </c>
      <c r="E677" s="9">
        <v>0</v>
      </c>
      <c r="F677" s="9">
        <v>0</v>
      </c>
      <c r="G677" s="9">
        <v>1</v>
      </c>
      <c r="H677" s="9">
        <v>0</v>
      </c>
      <c r="I677" s="9">
        <v>1</v>
      </c>
      <c r="J677" s="9">
        <v>0</v>
      </c>
      <c r="K677" s="9">
        <v>0</v>
      </c>
      <c r="L677" s="9">
        <v>1</v>
      </c>
      <c r="M677" s="9">
        <v>0</v>
      </c>
      <c r="N677" s="9">
        <v>0</v>
      </c>
      <c r="O677" s="9">
        <v>1</v>
      </c>
      <c r="P677" s="9">
        <v>1</v>
      </c>
      <c r="Q677" s="9">
        <v>1</v>
      </c>
      <c r="R677" s="9">
        <v>0</v>
      </c>
      <c r="S677" s="9">
        <v>1</v>
      </c>
      <c r="T677" s="9">
        <v>0</v>
      </c>
      <c r="U677" s="1">
        <f t="shared" si="5"/>
        <v>8</v>
      </c>
    </row>
    <row r="678" spans="2:21" ht="13.2" x14ac:dyDescent="0.25">
      <c r="B678" s="113"/>
      <c r="C678" s="9">
        <v>2022</v>
      </c>
      <c r="D678" s="9">
        <v>1</v>
      </c>
      <c r="E678" s="9">
        <v>0</v>
      </c>
      <c r="F678" s="9">
        <v>0</v>
      </c>
      <c r="G678" s="9">
        <v>0</v>
      </c>
      <c r="H678" s="9">
        <v>0</v>
      </c>
      <c r="I678" s="9">
        <v>0</v>
      </c>
      <c r="J678" s="9">
        <v>1</v>
      </c>
      <c r="K678" s="9">
        <v>0</v>
      </c>
      <c r="L678" s="9">
        <v>0</v>
      </c>
      <c r="M678" s="9">
        <v>0</v>
      </c>
      <c r="N678" s="9">
        <v>1</v>
      </c>
      <c r="O678" s="9">
        <v>1</v>
      </c>
      <c r="P678" s="9">
        <v>0</v>
      </c>
      <c r="Q678" s="9">
        <v>0</v>
      </c>
      <c r="R678" s="9">
        <v>1</v>
      </c>
      <c r="S678" s="9">
        <v>1</v>
      </c>
      <c r="T678" s="9">
        <v>1</v>
      </c>
      <c r="U678" s="1">
        <f t="shared" si="5"/>
        <v>7</v>
      </c>
    </row>
    <row r="679" spans="2:21" ht="13.2" x14ac:dyDescent="0.25">
      <c r="B679" s="112" t="s">
        <v>183</v>
      </c>
      <c r="C679" s="9">
        <v>2018</v>
      </c>
      <c r="D679" s="9">
        <v>0</v>
      </c>
      <c r="E679" s="9">
        <v>1</v>
      </c>
      <c r="F679" s="9">
        <v>0</v>
      </c>
      <c r="G679" s="9">
        <v>0</v>
      </c>
      <c r="H679" s="9">
        <v>0</v>
      </c>
      <c r="I679" s="9">
        <v>1</v>
      </c>
      <c r="J679" s="9">
        <v>1</v>
      </c>
      <c r="K679" s="9">
        <v>1</v>
      </c>
      <c r="L679" s="9">
        <v>0</v>
      </c>
      <c r="M679" s="9">
        <v>1</v>
      </c>
      <c r="N679" s="9">
        <v>0</v>
      </c>
      <c r="O679" s="9">
        <v>1</v>
      </c>
      <c r="P679" s="9">
        <v>0</v>
      </c>
      <c r="Q679" s="9">
        <v>1</v>
      </c>
      <c r="R679" s="9">
        <v>1</v>
      </c>
      <c r="S679" s="9">
        <v>0</v>
      </c>
      <c r="T679" s="9">
        <v>0</v>
      </c>
      <c r="U679" s="1">
        <f t="shared" si="5"/>
        <v>8</v>
      </c>
    </row>
    <row r="680" spans="2:21" ht="13.2" x14ac:dyDescent="0.25">
      <c r="B680" s="109"/>
      <c r="C680" s="9">
        <v>2019</v>
      </c>
      <c r="D680" s="9">
        <v>1</v>
      </c>
      <c r="E680" s="9">
        <v>0</v>
      </c>
      <c r="F680" s="9">
        <v>1</v>
      </c>
      <c r="G680" s="9">
        <v>0</v>
      </c>
      <c r="H680" s="9">
        <v>1</v>
      </c>
      <c r="I680" s="9">
        <v>1</v>
      </c>
      <c r="J680" s="9">
        <v>0</v>
      </c>
      <c r="K680" s="9">
        <v>0</v>
      </c>
      <c r="L680" s="9">
        <v>0</v>
      </c>
      <c r="M680" s="9">
        <v>1</v>
      </c>
      <c r="N680" s="9">
        <v>0</v>
      </c>
      <c r="O680" s="9">
        <v>0</v>
      </c>
      <c r="P680" s="9">
        <v>0</v>
      </c>
      <c r="Q680" s="9">
        <v>0</v>
      </c>
      <c r="R680" s="9">
        <v>1</v>
      </c>
      <c r="S680" s="9">
        <v>0</v>
      </c>
      <c r="T680" s="9">
        <v>0</v>
      </c>
      <c r="U680" s="1">
        <f t="shared" si="5"/>
        <v>6</v>
      </c>
    </row>
    <row r="681" spans="2:21" ht="13.2" x14ac:dyDescent="0.25">
      <c r="B681" s="109"/>
      <c r="C681" s="9">
        <v>2020</v>
      </c>
      <c r="D681" s="9">
        <v>1</v>
      </c>
      <c r="E681" s="9">
        <v>0</v>
      </c>
      <c r="F681" s="9">
        <v>0</v>
      </c>
      <c r="G681" s="9">
        <v>1</v>
      </c>
      <c r="H681" s="9">
        <v>0</v>
      </c>
      <c r="I681" s="9">
        <v>0</v>
      </c>
      <c r="J681" s="9">
        <v>1</v>
      </c>
      <c r="K681" s="9">
        <v>0</v>
      </c>
      <c r="L681" s="9">
        <v>0</v>
      </c>
      <c r="M681" s="9">
        <v>0</v>
      </c>
      <c r="N681" s="9">
        <v>0</v>
      </c>
      <c r="O681" s="9">
        <v>1</v>
      </c>
      <c r="P681" s="9">
        <v>1</v>
      </c>
      <c r="Q681" s="9">
        <v>1</v>
      </c>
      <c r="R681" s="9">
        <v>1</v>
      </c>
      <c r="S681" s="9">
        <v>0</v>
      </c>
      <c r="T681" s="9">
        <v>0</v>
      </c>
      <c r="U681" s="1">
        <f t="shared" si="5"/>
        <v>7</v>
      </c>
    </row>
    <row r="682" spans="2:21" ht="13.2" x14ac:dyDescent="0.25">
      <c r="B682" s="109"/>
      <c r="C682" s="9">
        <v>2021</v>
      </c>
      <c r="D682" s="9">
        <v>1</v>
      </c>
      <c r="E682" s="9">
        <v>0</v>
      </c>
      <c r="F682" s="9">
        <v>0</v>
      </c>
      <c r="G682" s="9">
        <v>1</v>
      </c>
      <c r="H682" s="9">
        <v>1</v>
      </c>
      <c r="I682" s="9">
        <v>1</v>
      </c>
      <c r="J682" s="9">
        <v>1</v>
      </c>
      <c r="K682" s="9">
        <v>1</v>
      </c>
      <c r="L682" s="9">
        <v>0</v>
      </c>
      <c r="M682" s="9">
        <v>1</v>
      </c>
      <c r="N682" s="9">
        <v>0</v>
      </c>
      <c r="O682" s="9">
        <v>0</v>
      </c>
      <c r="P682" s="9">
        <v>0</v>
      </c>
      <c r="Q682" s="9">
        <v>1</v>
      </c>
      <c r="R682" s="9">
        <v>0</v>
      </c>
      <c r="S682" s="9">
        <v>0</v>
      </c>
      <c r="T682" s="9">
        <v>0</v>
      </c>
      <c r="U682" s="1">
        <f t="shared" si="5"/>
        <v>8</v>
      </c>
    </row>
    <row r="683" spans="2:21" ht="13.2" x14ac:dyDescent="0.25">
      <c r="B683" s="113"/>
      <c r="C683" s="9">
        <v>2022</v>
      </c>
      <c r="D683" s="9">
        <v>0</v>
      </c>
      <c r="E683" s="9">
        <v>1</v>
      </c>
      <c r="F683" s="9">
        <v>0</v>
      </c>
      <c r="G683" s="9">
        <v>0</v>
      </c>
      <c r="H683" s="9">
        <v>1</v>
      </c>
      <c r="I683" s="9">
        <v>0</v>
      </c>
      <c r="J683" s="9">
        <v>0</v>
      </c>
      <c r="K683" s="9">
        <v>1</v>
      </c>
      <c r="L683" s="9">
        <v>0</v>
      </c>
      <c r="M683" s="9">
        <v>0</v>
      </c>
      <c r="N683" s="9">
        <v>0</v>
      </c>
      <c r="O683" s="9">
        <v>0</v>
      </c>
      <c r="P683" s="9">
        <v>1</v>
      </c>
      <c r="Q683" s="9">
        <v>1</v>
      </c>
      <c r="R683" s="9">
        <v>1</v>
      </c>
      <c r="S683" s="9">
        <v>1</v>
      </c>
      <c r="T683" s="9">
        <v>0</v>
      </c>
      <c r="U683" s="1">
        <f t="shared" si="5"/>
        <v>7</v>
      </c>
    </row>
    <row r="684" spans="2:21" ht="13.2" x14ac:dyDescent="0.25">
      <c r="B684" s="112" t="s">
        <v>184</v>
      </c>
      <c r="C684" s="9">
        <v>2018</v>
      </c>
      <c r="D684" s="9">
        <v>1</v>
      </c>
      <c r="E684" s="9">
        <v>0</v>
      </c>
      <c r="F684" s="9">
        <v>0</v>
      </c>
      <c r="G684" s="9">
        <v>0</v>
      </c>
      <c r="H684" s="9">
        <v>1</v>
      </c>
      <c r="I684" s="9">
        <v>0</v>
      </c>
      <c r="J684" s="9">
        <v>1</v>
      </c>
      <c r="K684" s="9">
        <v>0</v>
      </c>
      <c r="L684" s="9">
        <v>0</v>
      </c>
      <c r="M684" s="9">
        <v>0</v>
      </c>
      <c r="N684" s="9">
        <v>1</v>
      </c>
      <c r="O684" s="9">
        <v>1</v>
      </c>
      <c r="P684" s="9">
        <v>0</v>
      </c>
      <c r="Q684" s="9">
        <v>1</v>
      </c>
      <c r="R684" s="9">
        <v>1</v>
      </c>
      <c r="S684" s="9">
        <v>0</v>
      </c>
      <c r="T684" s="9">
        <v>0</v>
      </c>
      <c r="U684" s="1">
        <f t="shared" si="5"/>
        <v>7</v>
      </c>
    </row>
    <row r="685" spans="2:21" ht="13.2" x14ac:dyDescent="0.25">
      <c r="B685" s="109"/>
      <c r="C685" s="9">
        <v>2019</v>
      </c>
      <c r="D685" s="9">
        <v>0</v>
      </c>
      <c r="E685" s="9">
        <v>0</v>
      </c>
      <c r="F685" s="9">
        <v>1</v>
      </c>
      <c r="G685" s="9">
        <v>1</v>
      </c>
      <c r="H685" s="9">
        <v>1</v>
      </c>
      <c r="I685" s="9">
        <v>1</v>
      </c>
      <c r="J685" s="9">
        <v>1</v>
      </c>
      <c r="K685" s="9">
        <v>1</v>
      </c>
      <c r="L685" s="9">
        <v>1</v>
      </c>
      <c r="M685" s="9">
        <v>0</v>
      </c>
      <c r="N685" s="9">
        <v>0</v>
      </c>
      <c r="O685" s="9">
        <v>1</v>
      </c>
      <c r="P685" s="9">
        <v>0</v>
      </c>
      <c r="Q685" s="9">
        <v>0</v>
      </c>
      <c r="R685" s="9">
        <v>0</v>
      </c>
      <c r="S685" s="9">
        <v>1</v>
      </c>
      <c r="T685" s="9">
        <v>0</v>
      </c>
      <c r="U685" s="1">
        <f t="shared" si="5"/>
        <v>9</v>
      </c>
    </row>
    <row r="686" spans="2:21" ht="13.2" x14ac:dyDescent="0.25">
      <c r="B686" s="109"/>
      <c r="C686" s="9">
        <v>2020</v>
      </c>
      <c r="D686" s="9">
        <v>1</v>
      </c>
      <c r="E686" s="9">
        <v>1</v>
      </c>
      <c r="F686" s="9">
        <v>1</v>
      </c>
      <c r="G686" s="9">
        <v>0</v>
      </c>
      <c r="H686" s="9">
        <v>1</v>
      </c>
      <c r="I686" s="9">
        <v>1</v>
      </c>
      <c r="J686" s="9">
        <v>1</v>
      </c>
      <c r="K686" s="9">
        <v>1</v>
      </c>
      <c r="L686" s="9">
        <v>1</v>
      </c>
      <c r="M686" s="9">
        <v>0</v>
      </c>
      <c r="N686" s="9">
        <v>1</v>
      </c>
      <c r="O686" s="9">
        <v>1</v>
      </c>
      <c r="P686" s="9">
        <v>0</v>
      </c>
      <c r="Q686" s="9">
        <v>1</v>
      </c>
      <c r="R686" s="9">
        <v>0</v>
      </c>
      <c r="S686" s="9">
        <v>1</v>
      </c>
      <c r="T686" s="9">
        <v>0</v>
      </c>
      <c r="U686" s="1">
        <f t="shared" si="5"/>
        <v>12</v>
      </c>
    </row>
    <row r="687" spans="2:21" ht="13.2" x14ac:dyDescent="0.25">
      <c r="B687" s="109"/>
      <c r="C687" s="9">
        <v>2021</v>
      </c>
      <c r="D687" s="9">
        <v>1</v>
      </c>
      <c r="E687" s="9">
        <v>1</v>
      </c>
      <c r="F687" s="9">
        <v>1</v>
      </c>
      <c r="G687" s="9">
        <v>1</v>
      </c>
      <c r="H687" s="9">
        <v>0</v>
      </c>
      <c r="I687" s="9">
        <v>1</v>
      </c>
      <c r="J687" s="9">
        <v>0</v>
      </c>
      <c r="K687" s="9">
        <v>1</v>
      </c>
      <c r="L687" s="9">
        <v>1</v>
      </c>
      <c r="M687" s="9">
        <v>0</v>
      </c>
      <c r="N687" s="9">
        <v>1</v>
      </c>
      <c r="O687" s="9">
        <v>0</v>
      </c>
      <c r="P687" s="9">
        <v>0</v>
      </c>
      <c r="Q687" s="9">
        <v>1</v>
      </c>
      <c r="R687" s="9">
        <v>1</v>
      </c>
      <c r="S687" s="9">
        <v>1</v>
      </c>
      <c r="T687" s="9">
        <v>1</v>
      </c>
      <c r="U687" s="1">
        <f t="shared" si="5"/>
        <v>12</v>
      </c>
    </row>
    <row r="688" spans="2:21" ht="13.2" x14ac:dyDescent="0.25">
      <c r="B688" s="113"/>
      <c r="C688" s="9">
        <v>2022</v>
      </c>
      <c r="D688" s="9">
        <v>0</v>
      </c>
      <c r="E688" s="9">
        <v>1</v>
      </c>
      <c r="F688" s="9">
        <v>1</v>
      </c>
      <c r="G688" s="9">
        <v>0</v>
      </c>
      <c r="H688" s="9">
        <v>0</v>
      </c>
      <c r="I688" s="9">
        <v>1</v>
      </c>
      <c r="J688" s="9">
        <v>0</v>
      </c>
      <c r="K688" s="9">
        <v>0</v>
      </c>
      <c r="L688" s="9">
        <v>0</v>
      </c>
      <c r="M688" s="9">
        <v>0</v>
      </c>
      <c r="N688" s="9">
        <v>0</v>
      </c>
      <c r="O688" s="9">
        <v>1</v>
      </c>
      <c r="P688" s="9">
        <v>0</v>
      </c>
      <c r="Q688" s="9">
        <v>1</v>
      </c>
      <c r="R688" s="9">
        <v>0</v>
      </c>
      <c r="S688" s="9">
        <v>0</v>
      </c>
      <c r="T688" s="9">
        <v>0</v>
      </c>
      <c r="U688" s="1">
        <f t="shared" si="5"/>
        <v>5</v>
      </c>
    </row>
    <row r="689" spans="2:21" ht="13.2" x14ac:dyDescent="0.25">
      <c r="B689" s="112" t="s">
        <v>185</v>
      </c>
      <c r="C689" s="9">
        <v>2018</v>
      </c>
      <c r="D689" s="9">
        <v>0</v>
      </c>
      <c r="E689" s="9">
        <v>1</v>
      </c>
      <c r="F689" s="9">
        <v>1</v>
      </c>
      <c r="G689" s="9">
        <v>0</v>
      </c>
      <c r="H689" s="9">
        <v>1</v>
      </c>
      <c r="I689" s="9">
        <v>0</v>
      </c>
      <c r="J689" s="9">
        <v>0</v>
      </c>
      <c r="K689" s="9">
        <v>1</v>
      </c>
      <c r="L689" s="9">
        <v>1</v>
      </c>
      <c r="M689" s="9">
        <v>0</v>
      </c>
      <c r="N689" s="9">
        <v>1</v>
      </c>
      <c r="O689" s="9">
        <v>1</v>
      </c>
      <c r="P689" s="9">
        <v>1</v>
      </c>
      <c r="Q689" s="9">
        <v>0</v>
      </c>
      <c r="R689" s="9">
        <v>0</v>
      </c>
      <c r="S689" s="9">
        <v>0</v>
      </c>
      <c r="T689" s="9">
        <v>0</v>
      </c>
      <c r="U689" s="1">
        <f t="shared" si="5"/>
        <v>8</v>
      </c>
    </row>
    <row r="690" spans="2:21" ht="13.2" x14ac:dyDescent="0.25">
      <c r="B690" s="109"/>
      <c r="C690" s="9">
        <v>2019</v>
      </c>
      <c r="D690" s="9">
        <v>0</v>
      </c>
      <c r="E690" s="9">
        <v>1</v>
      </c>
      <c r="F690" s="9">
        <v>1</v>
      </c>
      <c r="G690" s="9">
        <v>0</v>
      </c>
      <c r="H690" s="9">
        <v>0</v>
      </c>
      <c r="I690" s="9">
        <v>1</v>
      </c>
      <c r="J690" s="9">
        <v>0</v>
      </c>
      <c r="K690" s="9">
        <v>1</v>
      </c>
      <c r="L690" s="9">
        <v>1</v>
      </c>
      <c r="M690" s="9">
        <v>0</v>
      </c>
      <c r="N690" s="9">
        <v>1</v>
      </c>
      <c r="O690" s="9">
        <v>0</v>
      </c>
      <c r="P690" s="9">
        <v>0</v>
      </c>
      <c r="Q690" s="9">
        <v>0</v>
      </c>
      <c r="R690" s="9">
        <v>1</v>
      </c>
      <c r="S690" s="9">
        <v>0</v>
      </c>
      <c r="T690" s="9">
        <v>0</v>
      </c>
      <c r="U690" s="1">
        <f t="shared" si="5"/>
        <v>7</v>
      </c>
    </row>
    <row r="691" spans="2:21" ht="13.2" x14ac:dyDescent="0.25">
      <c r="B691" s="109"/>
      <c r="C691" s="9">
        <v>2020</v>
      </c>
      <c r="D691" s="9">
        <v>0</v>
      </c>
      <c r="E691" s="9">
        <v>1</v>
      </c>
      <c r="F691" s="9">
        <v>1</v>
      </c>
      <c r="G691" s="9">
        <v>0</v>
      </c>
      <c r="H691" s="9">
        <v>0</v>
      </c>
      <c r="I691" s="9">
        <v>1</v>
      </c>
      <c r="J691" s="9">
        <v>1</v>
      </c>
      <c r="K691" s="9">
        <v>0</v>
      </c>
      <c r="L691" s="9">
        <v>1</v>
      </c>
      <c r="M691" s="9">
        <v>1</v>
      </c>
      <c r="N691" s="9">
        <v>0</v>
      </c>
      <c r="O691" s="9">
        <v>1</v>
      </c>
      <c r="P691" s="9">
        <v>0</v>
      </c>
      <c r="Q691" s="9">
        <v>0</v>
      </c>
      <c r="R691" s="9">
        <v>0</v>
      </c>
      <c r="S691" s="9">
        <v>0</v>
      </c>
      <c r="T691" s="9">
        <v>0</v>
      </c>
      <c r="U691" s="1">
        <f t="shared" si="5"/>
        <v>7</v>
      </c>
    </row>
    <row r="692" spans="2:21" ht="13.2" x14ac:dyDescent="0.25">
      <c r="B692" s="109"/>
      <c r="C692" s="9">
        <v>2021</v>
      </c>
      <c r="D692" s="9">
        <v>1</v>
      </c>
      <c r="E692" s="9">
        <v>0</v>
      </c>
      <c r="F692" s="9">
        <v>0</v>
      </c>
      <c r="G692" s="9">
        <v>1</v>
      </c>
      <c r="H692" s="9">
        <v>1</v>
      </c>
      <c r="I692" s="9">
        <v>1</v>
      </c>
      <c r="J692" s="9">
        <v>1</v>
      </c>
      <c r="K692" s="9">
        <v>0</v>
      </c>
      <c r="L692" s="9">
        <v>1</v>
      </c>
      <c r="M692" s="9">
        <v>0</v>
      </c>
      <c r="N692" s="9">
        <v>0</v>
      </c>
      <c r="O692" s="9">
        <v>1</v>
      </c>
      <c r="P692" s="9">
        <v>0</v>
      </c>
      <c r="Q692" s="9">
        <v>1</v>
      </c>
      <c r="R692" s="9">
        <v>1</v>
      </c>
      <c r="S692" s="9">
        <v>0</v>
      </c>
      <c r="T692" s="9">
        <v>0</v>
      </c>
      <c r="U692" s="1">
        <f t="shared" si="5"/>
        <v>9</v>
      </c>
    </row>
    <row r="693" spans="2:21" ht="13.2" x14ac:dyDescent="0.25">
      <c r="B693" s="113"/>
      <c r="C693" s="9">
        <v>2022</v>
      </c>
      <c r="D693" s="9">
        <v>0</v>
      </c>
      <c r="E693" s="9">
        <v>0</v>
      </c>
      <c r="F693" s="9">
        <v>0</v>
      </c>
      <c r="G693" s="9">
        <v>1</v>
      </c>
      <c r="H693" s="9">
        <v>0</v>
      </c>
      <c r="I693" s="9">
        <v>1</v>
      </c>
      <c r="J693" s="9">
        <v>0</v>
      </c>
      <c r="K693" s="9">
        <v>0</v>
      </c>
      <c r="L693" s="9">
        <v>0</v>
      </c>
      <c r="M693" s="9">
        <v>1</v>
      </c>
      <c r="N693" s="9">
        <v>1</v>
      </c>
      <c r="O693" s="9">
        <v>0</v>
      </c>
      <c r="P693" s="9">
        <v>0</v>
      </c>
      <c r="Q693" s="9">
        <v>1</v>
      </c>
      <c r="R693" s="9">
        <v>1</v>
      </c>
      <c r="S693" s="9">
        <v>0</v>
      </c>
      <c r="T693" s="9">
        <v>0</v>
      </c>
      <c r="U693" s="1">
        <f t="shared" si="5"/>
        <v>6</v>
      </c>
    </row>
    <row r="694" spans="2:21" ht="13.2" x14ac:dyDescent="0.25">
      <c r="B694" s="112" t="s">
        <v>186</v>
      </c>
      <c r="C694" s="9">
        <v>2018</v>
      </c>
      <c r="D694" s="9">
        <v>1</v>
      </c>
      <c r="E694" s="9">
        <v>0</v>
      </c>
      <c r="F694" s="9">
        <v>1</v>
      </c>
      <c r="G694" s="9">
        <v>1</v>
      </c>
      <c r="H694" s="9">
        <v>0</v>
      </c>
      <c r="I694" s="9">
        <v>1</v>
      </c>
      <c r="J694" s="9">
        <v>0</v>
      </c>
      <c r="K694" s="9">
        <v>0</v>
      </c>
      <c r="L694" s="9">
        <v>0</v>
      </c>
      <c r="M694" s="9">
        <v>1</v>
      </c>
      <c r="N694" s="9">
        <v>0</v>
      </c>
      <c r="O694" s="9">
        <v>1</v>
      </c>
      <c r="P694" s="9">
        <v>0</v>
      </c>
      <c r="Q694" s="9">
        <v>1</v>
      </c>
      <c r="R694" s="9">
        <v>1</v>
      </c>
      <c r="S694" s="9">
        <v>1</v>
      </c>
      <c r="T694" s="9">
        <v>1</v>
      </c>
      <c r="U694" s="1">
        <f t="shared" si="5"/>
        <v>10</v>
      </c>
    </row>
    <row r="695" spans="2:21" ht="13.2" x14ac:dyDescent="0.25">
      <c r="B695" s="109"/>
      <c r="C695" s="9">
        <v>2019</v>
      </c>
      <c r="D695" s="9">
        <v>0</v>
      </c>
      <c r="E695" s="9">
        <v>1</v>
      </c>
      <c r="F695" s="9">
        <v>0</v>
      </c>
      <c r="G695" s="9">
        <v>1</v>
      </c>
      <c r="H695" s="9">
        <v>0</v>
      </c>
      <c r="I695" s="9">
        <v>0</v>
      </c>
      <c r="J695" s="9">
        <v>0</v>
      </c>
      <c r="K695" s="9">
        <v>1</v>
      </c>
      <c r="L695" s="9">
        <v>0</v>
      </c>
      <c r="M695" s="9">
        <v>1</v>
      </c>
      <c r="N695" s="9">
        <v>0</v>
      </c>
      <c r="O695" s="9">
        <v>0</v>
      </c>
      <c r="P695" s="9">
        <v>1</v>
      </c>
      <c r="Q695" s="9">
        <v>0</v>
      </c>
      <c r="R695" s="9">
        <v>1</v>
      </c>
      <c r="S695" s="9">
        <v>1</v>
      </c>
      <c r="T695" s="9">
        <v>1</v>
      </c>
      <c r="U695" s="1">
        <f t="shared" si="5"/>
        <v>8</v>
      </c>
    </row>
    <row r="696" spans="2:21" ht="13.2" x14ac:dyDescent="0.25">
      <c r="B696" s="109"/>
      <c r="C696" s="9">
        <v>2020</v>
      </c>
      <c r="D696" s="9">
        <v>0</v>
      </c>
      <c r="E696" s="9">
        <v>1</v>
      </c>
      <c r="F696" s="9">
        <v>1</v>
      </c>
      <c r="G696" s="9">
        <v>1</v>
      </c>
      <c r="H696" s="9">
        <v>0</v>
      </c>
      <c r="I696" s="9">
        <v>1</v>
      </c>
      <c r="J696" s="9">
        <v>1</v>
      </c>
      <c r="K696" s="9">
        <v>1</v>
      </c>
      <c r="L696" s="9">
        <v>1</v>
      </c>
      <c r="M696" s="9">
        <v>0</v>
      </c>
      <c r="N696" s="9">
        <v>0</v>
      </c>
      <c r="O696" s="9">
        <v>0</v>
      </c>
      <c r="P696" s="9">
        <v>1</v>
      </c>
      <c r="Q696" s="9">
        <v>1</v>
      </c>
      <c r="R696" s="9">
        <v>0</v>
      </c>
      <c r="S696" s="9">
        <v>0</v>
      </c>
      <c r="T696" s="9">
        <v>0</v>
      </c>
      <c r="U696" s="1">
        <f t="shared" si="5"/>
        <v>9</v>
      </c>
    </row>
    <row r="697" spans="2:21" ht="13.2" x14ac:dyDescent="0.25">
      <c r="B697" s="109"/>
      <c r="C697" s="9">
        <v>2021</v>
      </c>
      <c r="D697" s="9">
        <v>1</v>
      </c>
      <c r="E697" s="9">
        <v>0</v>
      </c>
      <c r="F697" s="9">
        <v>0</v>
      </c>
      <c r="G697" s="9">
        <v>1</v>
      </c>
      <c r="H697" s="9">
        <v>0</v>
      </c>
      <c r="I697" s="9">
        <v>1</v>
      </c>
      <c r="J697" s="9">
        <v>1</v>
      </c>
      <c r="K697" s="9">
        <v>0</v>
      </c>
      <c r="L697" s="9">
        <v>0</v>
      </c>
      <c r="M697" s="9">
        <v>0</v>
      </c>
      <c r="N697" s="9">
        <v>1</v>
      </c>
      <c r="O697" s="9">
        <v>0</v>
      </c>
      <c r="P697" s="9">
        <v>0</v>
      </c>
      <c r="Q697" s="9">
        <v>0</v>
      </c>
      <c r="R697" s="9">
        <v>0</v>
      </c>
      <c r="S697" s="9">
        <v>1</v>
      </c>
      <c r="T697" s="9">
        <v>0</v>
      </c>
      <c r="U697" s="1">
        <f t="shared" si="5"/>
        <v>6</v>
      </c>
    </row>
    <row r="698" spans="2:21" ht="13.2" x14ac:dyDescent="0.25">
      <c r="B698" s="113"/>
      <c r="C698" s="9">
        <v>2022</v>
      </c>
      <c r="D698" s="9">
        <v>0</v>
      </c>
      <c r="E698" s="9">
        <v>0</v>
      </c>
      <c r="F698" s="9">
        <v>1</v>
      </c>
      <c r="G698" s="9">
        <v>0</v>
      </c>
      <c r="H698" s="9">
        <v>1</v>
      </c>
      <c r="I698" s="9">
        <v>0</v>
      </c>
      <c r="J698" s="9">
        <v>1</v>
      </c>
      <c r="K698" s="9">
        <v>1</v>
      </c>
      <c r="L698" s="9">
        <v>0</v>
      </c>
      <c r="M698" s="9">
        <v>1</v>
      </c>
      <c r="N698" s="9">
        <v>0</v>
      </c>
      <c r="O698" s="9">
        <v>0</v>
      </c>
      <c r="P698" s="9">
        <v>0</v>
      </c>
      <c r="Q698" s="9">
        <v>0</v>
      </c>
      <c r="R698" s="9">
        <v>0</v>
      </c>
      <c r="S698" s="9">
        <v>1</v>
      </c>
      <c r="T698" s="9">
        <v>1</v>
      </c>
      <c r="U698" s="1">
        <f t="shared" si="5"/>
        <v>7</v>
      </c>
    </row>
    <row r="699" spans="2:21" ht="13.2" x14ac:dyDescent="0.25">
      <c r="B699" s="2"/>
      <c r="C699" s="2"/>
      <c r="D699" s="2"/>
      <c r="E699" s="2"/>
      <c r="F699" s="2"/>
      <c r="G699" s="2"/>
      <c r="H699" s="2"/>
      <c r="I699" s="2"/>
      <c r="J699" s="2"/>
      <c r="K699" s="2"/>
      <c r="L699" s="2"/>
    </row>
    <row r="700" spans="2:21" ht="13.2" x14ac:dyDescent="0.25">
      <c r="B700" s="2"/>
      <c r="C700" s="2"/>
      <c r="D700" s="2"/>
      <c r="E700" s="2"/>
      <c r="F700" s="2"/>
      <c r="G700" s="2"/>
      <c r="H700" s="2"/>
      <c r="I700" s="2"/>
      <c r="J700" s="2"/>
      <c r="K700" s="2"/>
      <c r="L700" s="2"/>
    </row>
    <row r="701" spans="2:21" ht="13.2" x14ac:dyDescent="0.25">
      <c r="B701" s="111" t="s">
        <v>6</v>
      </c>
      <c r="C701" s="107"/>
      <c r="D701" s="111" t="s">
        <v>189</v>
      </c>
      <c r="E701" s="106"/>
      <c r="F701" s="106"/>
      <c r="G701" s="106"/>
      <c r="H701" s="106"/>
      <c r="I701" s="106"/>
      <c r="J701" s="106"/>
      <c r="K701" s="106"/>
      <c r="L701" s="106"/>
      <c r="M701" s="106"/>
      <c r="N701" s="106"/>
      <c r="O701" s="106"/>
      <c r="P701" s="106"/>
      <c r="Q701" s="106"/>
      <c r="R701" s="107"/>
    </row>
    <row r="702" spans="2:21" ht="13.8" x14ac:dyDescent="0.25">
      <c r="B702" s="4" t="s">
        <v>6</v>
      </c>
      <c r="C702" s="5" t="s">
        <v>7</v>
      </c>
      <c r="D702" s="12" t="s">
        <v>14</v>
      </c>
      <c r="E702" s="12" t="s">
        <v>21</v>
      </c>
      <c r="F702" s="12" t="s">
        <v>25</v>
      </c>
      <c r="G702" s="12" t="s">
        <v>29</v>
      </c>
      <c r="H702" s="12" t="s">
        <v>33</v>
      </c>
      <c r="I702" s="12" t="s">
        <v>37</v>
      </c>
      <c r="J702" s="12" t="s">
        <v>42</v>
      </c>
      <c r="K702" s="12" t="s">
        <v>46</v>
      </c>
      <c r="L702" s="12" t="s">
        <v>50</v>
      </c>
      <c r="M702" s="12" t="s">
        <v>54</v>
      </c>
      <c r="N702" s="12" t="s">
        <v>58</v>
      </c>
      <c r="O702" s="12" t="s">
        <v>63</v>
      </c>
      <c r="P702" s="12" t="s">
        <v>67</v>
      </c>
      <c r="Q702" s="12" t="s">
        <v>71</v>
      </c>
      <c r="R702" s="12" t="s">
        <v>75</v>
      </c>
    </row>
    <row r="703" spans="2:21" ht="13.2" x14ac:dyDescent="0.25">
      <c r="B703" s="108" t="s">
        <v>18</v>
      </c>
      <c r="C703" s="9">
        <v>2018</v>
      </c>
      <c r="D703" s="9">
        <v>0</v>
      </c>
      <c r="E703" s="9">
        <v>0</v>
      </c>
      <c r="F703" s="9">
        <v>0</v>
      </c>
      <c r="G703" s="9">
        <v>1</v>
      </c>
      <c r="H703" s="9">
        <v>0</v>
      </c>
      <c r="I703" s="9">
        <v>1</v>
      </c>
      <c r="J703" s="9">
        <v>0</v>
      </c>
      <c r="K703" s="9">
        <v>1</v>
      </c>
      <c r="L703" s="9">
        <v>0</v>
      </c>
      <c r="M703" s="9">
        <v>1</v>
      </c>
      <c r="N703" s="9">
        <v>1</v>
      </c>
      <c r="O703" s="9">
        <v>0</v>
      </c>
      <c r="P703" s="9">
        <v>0</v>
      </c>
      <c r="Q703" s="9">
        <v>1</v>
      </c>
      <c r="R703" s="9">
        <v>0</v>
      </c>
      <c r="S703" s="1">
        <f t="shared" ref="S703:S832" si="6">SUM(D703:R703)</f>
        <v>6</v>
      </c>
    </row>
    <row r="704" spans="2:21" ht="13.2" x14ac:dyDescent="0.25">
      <c r="B704" s="109"/>
      <c r="C704" s="9">
        <v>2019</v>
      </c>
      <c r="D704" s="9">
        <v>0</v>
      </c>
      <c r="E704" s="9">
        <v>1</v>
      </c>
      <c r="F704" s="9">
        <v>1</v>
      </c>
      <c r="G704" s="9">
        <v>1</v>
      </c>
      <c r="H704" s="9">
        <v>0</v>
      </c>
      <c r="I704" s="9">
        <v>0</v>
      </c>
      <c r="J704" s="9">
        <v>0</v>
      </c>
      <c r="K704" s="9">
        <v>0</v>
      </c>
      <c r="L704" s="9">
        <v>0</v>
      </c>
      <c r="M704" s="9">
        <v>0</v>
      </c>
      <c r="N704" s="9">
        <v>0</v>
      </c>
      <c r="O704" s="9">
        <v>1</v>
      </c>
      <c r="P704" s="9">
        <v>1</v>
      </c>
      <c r="Q704" s="9">
        <v>1</v>
      </c>
      <c r="R704" s="9">
        <v>1</v>
      </c>
      <c r="S704" s="1">
        <f t="shared" si="6"/>
        <v>7</v>
      </c>
    </row>
    <row r="705" spans="2:19" ht="13.2" x14ac:dyDescent="0.25">
      <c r="B705" s="109"/>
      <c r="C705" s="9">
        <v>2020</v>
      </c>
      <c r="D705" s="9">
        <v>0</v>
      </c>
      <c r="E705" s="9">
        <v>0</v>
      </c>
      <c r="F705" s="9">
        <v>1</v>
      </c>
      <c r="G705" s="9">
        <v>0</v>
      </c>
      <c r="H705" s="9">
        <v>0</v>
      </c>
      <c r="I705" s="9">
        <v>1</v>
      </c>
      <c r="J705" s="9">
        <v>0</v>
      </c>
      <c r="K705" s="9">
        <v>0</v>
      </c>
      <c r="L705" s="9">
        <v>1</v>
      </c>
      <c r="M705" s="9">
        <v>1</v>
      </c>
      <c r="N705" s="9">
        <v>0</v>
      </c>
      <c r="O705" s="9">
        <v>0</v>
      </c>
      <c r="P705" s="9">
        <v>1</v>
      </c>
      <c r="Q705" s="9">
        <v>0</v>
      </c>
      <c r="R705" s="9">
        <v>1</v>
      </c>
      <c r="S705" s="1">
        <f t="shared" si="6"/>
        <v>6</v>
      </c>
    </row>
    <row r="706" spans="2:19" ht="13.2" x14ac:dyDescent="0.25">
      <c r="B706" s="109"/>
      <c r="C706" s="9">
        <v>2021</v>
      </c>
      <c r="D706" s="9">
        <v>0</v>
      </c>
      <c r="E706" s="9">
        <v>1</v>
      </c>
      <c r="F706" s="9">
        <v>1</v>
      </c>
      <c r="G706" s="9">
        <v>1</v>
      </c>
      <c r="H706" s="9">
        <v>1</v>
      </c>
      <c r="I706" s="9">
        <v>1</v>
      </c>
      <c r="J706" s="9">
        <v>1</v>
      </c>
      <c r="K706" s="9">
        <v>1</v>
      </c>
      <c r="L706" s="9">
        <v>1</v>
      </c>
      <c r="M706" s="9">
        <v>1</v>
      </c>
      <c r="N706" s="9">
        <v>1</v>
      </c>
      <c r="O706" s="9">
        <v>0</v>
      </c>
      <c r="P706" s="9">
        <v>1</v>
      </c>
      <c r="Q706" s="9">
        <v>0</v>
      </c>
      <c r="R706" s="9">
        <v>1</v>
      </c>
      <c r="S706" s="1">
        <f t="shared" si="6"/>
        <v>12</v>
      </c>
    </row>
    <row r="707" spans="2:19" ht="13.2" x14ac:dyDescent="0.25">
      <c r="B707" s="110"/>
      <c r="C707" s="9">
        <v>2022</v>
      </c>
      <c r="D707" s="9">
        <v>0</v>
      </c>
      <c r="E707" s="9">
        <v>1</v>
      </c>
      <c r="F707" s="9">
        <v>1</v>
      </c>
      <c r="G707" s="9">
        <v>1</v>
      </c>
      <c r="H707" s="9">
        <v>1</v>
      </c>
      <c r="I707" s="9">
        <v>0</v>
      </c>
      <c r="J707" s="9">
        <v>1</v>
      </c>
      <c r="K707" s="9">
        <v>1</v>
      </c>
      <c r="L707" s="9">
        <v>1</v>
      </c>
      <c r="M707" s="9">
        <v>1</v>
      </c>
      <c r="N707" s="9">
        <v>1</v>
      </c>
      <c r="O707" s="9">
        <v>1</v>
      </c>
      <c r="P707" s="9">
        <v>1</v>
      </c>
      <c r="Q707" s="9">
        <v>1</v>
      </c>
      <c r="R707" s="9">
        <v>1</v>
      </c>
      <c r="S707" s="1">
        <f t="shared" si="6"/>
        <v>13</v>
      </c>
    </row>
    <row r="708" spans="2:19" ht="13.2" x14ac:dyDescent="0.25">
      <c r="B708" s="108" t="s">
        <v>39</v>
      </c>
      <c r="C708" s="9">
        <v>2018</v>
      </c>
      <c r="D708" s="9">
        <v>1</v>
      </c>
      <c r="E708" s="9">
        <v>0</v>
      </c>
      <c r="F708" s="9">
        <v>1</v>
      </c>
      <c r="G708" s="9">
        <v>1</v>
      </c>
      <c r="H708" s="9">
        <v>1</v>
      </c>
      <c r="I708" s="9">
        <v>1</v>
      </c>
      <c r="J708" s="9">
        <v>1</v>
      </c>
      <c r="K708" s="9">
        <v>1</v>
      </c>
      <c r="L708" s="9">
        <v>1</v>
      </c>
      <c r="M708" s="9">
        <v>1</v>
      </c>
      <c r="N708" s="9">
        <v>1</v>
      </c>
      <c r="O708" s="9">
        <v>0</v>
      </c>
      <c r="P708" s="9">
        <v>1</v>
      </c>
      <c r="Q708" s="9">
        <v>1</v>
      </c>
      <c r="R708" s="9">
        <v>1</v>
      </c>
      <c r="S708" s="1">
        <f t="shared" si="6"/>
        <v>13</v>
      </c>
    </row>
    <row r="709" spans="2:19" ht="13.2" x14ac:dyDescent="0.25">
      <c r="B709" s="109"/>
      <c r="C709" s="9">
        <v>2019</v>
      </c>
      <c r="D709" s="9">
        <v>0</v>
      </c>
      <c r="E709" s="9">
        <v>0</v>
      </c>
      <c r="F709" s="9">
        <v>0</v>
      </c>
      <c r="G709" s="9">
        <v>1</v>
      </c>
      <c r="H709" s="9">
        <v>0</v>
      </c>
      <c r="I709" s="9">
        <v>0</v>
      </c>
      <c r="J709" s="9">
        <v>0</v>
      </c>
      <c r="K709" s="9">
        <v>0</v>
      </c>
      <c r="L709" s="9">
        <v>1</v>
      </c>
      <c r="M709" s="9">
        <v>1</v>
      </c>
      <c r="N709" s="9">
        <v>0</v>
      </c>
      <c r="O709" s="9">
        <v>1</v>
      </c>
      <c r="P709" s="9">
        <v>0</v>
      </c>
      <c r="Q709" s="9">
        <v>0</v>
      </c>
      <c r="R709" s="9">
        <v>1</v>
      </c>
      <c r="S709" s="1">
        <f t="shared" si="6"/>
        <v>5</v>
      </c>
    </row>
    <row r="710" spans="2:19" ht="13.2" x14ac:dyDescent="0.25">
      <c r="B710" s="109"/>
      <c r="C710" s="9">
        <v>2020</v>
      </c>
      <c r="D710" s="9">
        <v>0</v>
      </c>
      <c r="E710" s="9">
        <v>1</v>
      </c>
      <c r="F710" s="9">
        <v>0</v>
      </c>
      <c r="G710" s="9">
        <v>1</v>
      </c>
      <c r="H710" s="9">
        <v>0</v>
      </c>
      <c r="I710" s="9">
        <v>1</v>
      </c>
      <c r="J710" s="9">
        <v>0</v>
      </c>
      <c r="K710" s="9">
        <v>1</v>
      </c>
      <c r="L710" s="9">
        <v>0</v>
      </c>
      <c r="M710" s="9">
        <v>0</v>
      </c>
      <c r="N710" s="9">
        <v>0</v>
      </c>
      <c r="O710" s="9">
        <v>0</v>
      </c>
      <c r="P710" s="9">
        <v>0</v>
      </c>
      <c r="Q710" s="9">
        <v>1</v>
      </c>
      <c r="R710" s="9">
        <v>1</v>
      </c>
      <c r="S710" s="1">
        <f t="shared" si="6"/>
        <v>6</v>
      </c>
    </row>
    <row r="711" spans="2:19" ht="13.2" x14ac:dyDescent="0.25">
      <c r="B711" s="109"/>
      <c r="C711" s="9">
        <v>2021</v>
      </c>
      <c r="D711" s="9">
        <v>1</v>
      </c>
      <c r="E711" s="9">
        <v>1</v>
      </c>
      <c r="F711" s="9">
        <v>1</v>
      </c>
      <c r="G711" s="9">
        <v>1</v>
      </c>
      <c r="H711" s="9">
        <v>1</v>
      </c>
      <c r="I711" s="9">
        <v>1</v>
      </c>
      <c r="J711" s="9">
        <v>1</v>
      </c>
      <c r="K711" s="9">
        <v>1</v>
      </c>
      <c r="L711" s="9">
        <v>0</v>
      </c>
      <c r="M711" s="9">
        <v>1</v>
      </c>
      <c r="N711" s="9">
        <v>0</v>
      </c>
      <c r="O711" s="9">
        <v>1</v>
      </c>
      <c r="P711" s="9">
        <v>1</v>
      </c>
      <c r="Q711" s="9">
        <v>1</v>
      </c>
      <c r="R711" s="9">
        <v>1</v>
      </c>
      <c r="S711" s="1">
        <f t="shared" si="6"/>
        <v>13</v>
      </c>
    </row>
    <row r="712" spans="2:19" ht="13.2" x14ac:dyDescent="0.25">
      <c r="B712" s="110"/>
      <c r="C712" s="9">
        <v>2022</v>
      </c>
      <c r="D712" s="9">
        <v>0</v>
      </c>
      <c r="E712" s="9">
        <v>0</v>
      </c>
      <c r="F712" s="9">
        <v>0</v>
      </c>
      <c r="G712" s="9">
        <v>1</v>
      </c>
      <c r="H712" s="9">
        <v>1</v>
      </c>
      <c r="I712" s="9">
        <v>1</v>
      </c>
      <c r="J712" s="9">
        <v>0</v>
      </c>
      <c r="K712" s="9">
        <v>1</v>
      </c>
      <c r="L712" s="9">
        <v>1</v>
      </c>
      <c r="M712" s="9">
        <v>0</v>
      </c>
      <c r="N712" s="9">
        <v>0</v>
      </c>
      <c r="O712" s="9">
        <v>0</v>
      </c>
      <c r="P712" s="9">
        <v>1</v>
      </c>
      <c r="Q712" s="9">
        <v>1</v>
      </c>
      <c r="R712" s="9">
        <v>1</v>
      </c>
      <c r="S712" s="1">
        <f t="shared" si="6"/>
        <v>8</v>
      </c>
    </row>
    <row r="713" spans="2:19" ht="13.2" x14ac:dyDescent="0.25">
      <c r="B713" s="108" t="s">
        <v>60</v>
      </c>
      <c r="C713" s="9">
        <v>2018</v>
      </c>
      <c r="D713" s="9">
        <v>0</v>
      </c>
      <c r="E713" s="9">
        <v>1</v>
      </c>
      <c r="F713" s="9">
        <v>0</v>
      </c>
      <c r="G713" s="9">
        <v>1</v>
      </c>
      <c r="H713" s="9">
        <v>0</v>
      </c>
      <c r="I713" s="9">
        <v>1</v>
      </c>
      <c r="J713" s="9">
        <v>1</v>
      </c>
      <c r="K713" s="9">
        <v>1</v>
      </c>
      <c r="L713" s="9">
        <v>1</v>
      </c>
      <c r="M713" s="9">
        <v>0</v>
      </c>
      <c r="N713" s="9">
        <v>1</v>
      </c>
      <c r="O713" s="9">
        <v>0</v>
      </c>
      <c r="P713" s="9">
        <v>1</v>
      </c>
      <c r="Q713" s="9">
        <v>1</v>
      </c>
      <c r="R713" s="9">
        <v>0</v>
      </c>
      <c r="S713" s="1">
        <f t="shared" si="6"/>
        <v>9</v>
      </c>
    </row>
    <row r="714" spans="2:19" ht="13.2" x14ac:dyDescent="0.25">
      <c r="B714" s="109"/>
      <c r="C714" s="9">
        <v>2019</v>
      </c>
      <c r="D714" s="9">
        <v>0</v>
      </c>
      <c r="E714" s="9">
        <v>0</v>
      </c>
      <c r="F714" s="9">
        <v>0</v>
      </c>
      <c r="G714" s="9">
        <v>1</v>
      </c>
      <c r="H714" s="9">
        <v>1</v>
      </c>
      <c r="I714" s="9">
        <v>0</v>
      </c>
      <c r="J714" s="9">
        <v>0</v>
      </c>
      <c r="K714" s="9">
        <v>0</v>
      </c>
      <c r="L714" s="9">
        <v>0</v>
      </c>
      <c r="M714" s="9">
        <v>0</v>
      </c>
      <c r="N714" s="9">
        <v>0</v>
      </c>
      <c r="O714" s="9">
        <v>1</v>
      </c>
      <c r="P714" s="9">
        <v>1</v>
      </c>
      <c r="Q714" s="9">
        <v>0</v>
      </c>
      <c r="R714" s="9">
        <v>1</v>
      </c>
      <c r="S714" s="1">
        <f t="shared" si="6"/>
        <v>5</v>
      </c>
    </row>
    <row r="715" spans="2:19" ht="13.2" x14ac:dyDescent="0.25">
      <c r="B715" s="109"/>
      <c r="C715" s="9">
        <v>2020</v>
      </c>
      <c r="D715" s="9">
        <v>1</v>
      </c>
      <c r="E715" s="9">
        <v>1</v>
      </c>
      <c r="F715" s="9">
        <v>1</v>
      </c>
      <c r="G715" s="9">
        <v>0</v>
      </c>
      <c r="H715" s="9">
        <v>0</v>
      </c>
      <c r="I715" s="9">
        <v>1</v>
      </c>
      <c r="J715" s="9">
        <v>0</v>
      </c>
      <c r="K715" s="9">
        <v>1</v>
      </c>
      <c r="L715" s="9">
        <v>0</v>
      </c>
      <c r="M715" s="9">
        <v>1</v>
      </c>
      <c r="N715" s="9">
        <v>0</v>
      </c>
      <c r="O715" s="9">
        <v>1</v>
      </c>
      <c r="P715" s="9">
        <v>0</v>
      </c>
      <c r="Q715" s="9">
        <v>0</v>
      </c>
      <c r="R715" s="9">
        <v>0</v>
      </c>
      <c r="S715" s="1">
        <f t="shared" si="6"/>
        <v>7</v>
      </c>
    </row>
    <row r="716" spans="2:19" ht="13.2" x14ac:dyDescent="0.25">
      <c r="B716" s="109"/>
      <c r="C716" s="9">
        <v>2021</v>
      </c>
      <c r="D716" s="9">
        <v>1</v>
      </c>
      <c r="E716" s="9">
        <v>0</v>
      </c>
      <c r="F716" s="9">
        <v>1</v>
      </c>
      <c r="G716" s="9">
        <v>1</v>
      </c>
      <c r="H716" s="9">
        <v>0</v>
      </c>
      <c r="I716" s="9">
        <v>0</v>
      </c>
      <c r="J716" s="9">
        <v>0</v>
      </c>
      <c r="K716" s="9">
        <v>1</v>
      </c>
      <c r="L716" s="9">
        <v>1</v>
      </c>
      <c r="M716" s="9">
        <v>0</v>
      </c>
      <c r="N716" s="9">
        <v>0</v>
      </c>
      <c r="O716" s="9">
        <v>1</v>
      </c>
      <c r="P716" s="9">
        <v>0</v>
      </c>
      <c r="Q716" s="9">
        <v>0</v>
      </c>
      <c r="R716" s="9">
        <v>1</v>
      </c>
      <c r="S716" s="1">
        <f t="shared" si="6"/>
        <v>7</v>
      </c>
    </row>
    <row r="717" spans="2:19" ht="13.2" x14ac:dyDescent="0.25">
      <c r="B717" s="110"/>
      <c r="C717" s="9">
        <v>2022</v>
      </c>
      <c r="D717" s="9">
        <v>0</v>
      </c>
      <c r="E717" s="9">
        <v>0</v>
      </c>
      <c r="F717" s="9">
        <v>0</v>
      </c>
      <c r="G717" s="9">
        <v>1</v>
      </c>
      <c r="H717" s="9">
        <v>1</v>
      </c>
      <c r="I717" s="9">
        <v>1</v>
      </c>
      <c r="J717" s="9">
        <v>1</v>
      </c>
      <c r="K717" s="9">
        <v>1</v>
      </c>
      <c r="L717" s="9">
        <v>0</v>
      </c>
      <c r="M717" s="9">
        <v>1</v>
      </c>
      <c r="N717" s="9">
        <v>1</v>
      </c>
      <c r="O717" s="9">
        <v>0</v>
      </c>
      <c r="P717" s="9">
        <v>1</v>
      </c>
      <c r="Q717" s="9">
        <v>1</v>
      </c>
      <c r="R717" s="9">
        <v>1</v>
      </c>
      <c r="S717" s="1">
        <f t="shared" si="6"/>
        <v>10</v>
      </c>
    </row>
    <row r="718" spans="2:19" ht="13.2" x14ac:dyDescent="0.25">
      <c r="B718" s="108" t="s">
        <v>81</v>
      </c>
      <c r="C718" s="9">
        <v>2018</v>
      </c>
      <c r="D718" s="9">
        <v>0</v>
      </c>
      <c r="E718" s="9">
        <v>1</v>
      </c>
      <c r="F718" s="9">
        <v>1</v>
      </c>
      <c r="G718" s="9">
        <v>1</v>
      </c>
      <c r="H718" s="9">
        <v>0</v>
      </c>
      <c r="I718" s="9">
        <v>0</v>
      </c>
      <c r="J718" s="9">
        <v>0</v>
      </c>
      <c r="K718" s="9">
        <v>0</v>
      </c>
      <c r="L718" s="9">
        <v>1</v>
      </c>
      <c r="M718" s="9">
        <v>1</v>
      </c>
      <c r="N718" s="9">
        <v>1</v>
      </c>
      <c r="O718" s="9">
        <v>0</v>
      </c>
      <c r="P718" s="9">
        <v>0</v>
      </c>
      <c r="Q718" s="9">
        <v>1</v>
      </c>
      <c r="R718" s="9">
        <v>0</v>
      </c>
      <c r="S718" s="1">
        <f t="shared" si="6"/>
        <v>7</v>
      </c>
    </row>
    <row r="719" spans="2:19" ht="13.2" x14ac:dyDescent="0.25">
      <c r="B719" s="109"/>
      <c r="C719" s="9">
        <v>2019</v>
      </c>
      <c r="D719" s="9">
        <v>0</v>
      </c>
      <c r="E719" s="9">
        <v>0</v>
      </c>
      <c r="F719" s="9">
        <v>1</v>
      </c>
      <c r="G719" s="9">
        <v>1</v>
      </c>
      <c r="H719" s="9">
        <v>1</v>
      </c>
      <c r="I719" s="9">
        <v>1</v>
      </c>
      <c r="J719" s="9">
        <v>1</v>
      </c>
      <c r="K719" s="9">
        <v>0</v>
      </c>
      <c r="L719" s="9">
        <v>1</v>
      </c>
      <c r="M719" s="9">
        <v>0</v>
      </c>
      <c r="N719" s="9">
        <v>0</v>
      </c>
      <c r="O719" s="9">
        <v>1</v>
      </c>
      <c r="P719" s="9">
        <v>1</v>
      </c>
      <c r="Q719" s="9">
        <v>1</v>
      </c>
      <c r="R719" s="9">
        <v>0</v>
      </c>
      <c r="S719" s="1">
        <f t="shared" si="6"/>
        <v>9</v>
      </c>
    </row>
    <row r="720" spans="2:19" ht="13.2" x14ac:dyDescent="0.25">
      <c r="B720" s="109"/>
      <c r="C720" s="9">
        <v>2020</v>
      </c>
      <c r="D720" s="9">
        <v>1</v>
      </c>
      <c r="E720" s="9">
        <v>0</v>
      </c>
      <c r="F720" s="9">
        <v>1</v>
      </c>
      <c r="G720" s="9">
        <v>1</v>
      </c>
      <c r="H720" s="9">
        <v>0</v>
      </c>
      <c r="I720" s="9">
        <v>1</v>
      </c>
      <c r="J720" s="9">
        <v>0</v>
      </c>
      <c r="K720" s="9">
        <v>1</v>
      </c>
      <c r="L720" s="9">
        <v>0</v>
      </c>
      <c r="M720" s="9">
        <v>1</v>
      </c>
      <c r="N720" s="9">
        <v>0</v>
      </c>
      <c r="O720" s="9">
        <v>0</v>
      </c>
      <c r="P720" s="9">
        <v>1</v>
      </c>
      <c r="Q720" s="9">
        <v>1</v>
      </c>
      <c r="R720" s="9">
        <v>0</v>
      </c>
      <c r="S720" s="1">
        <f t="shared" si="6"/>
        <v>8</v>
      </c>
    </row>
    <row r="721" spans="2:19" ht="13.2" x14ac:dyDescent="0.25">
      <c r="B721" s="109"/>
      <c r="C721" s="9">
        <v>2021</v>
      </c>
      <c r="D721" s="9">
        <v>0</v>
      </c>
      <c r="E721" s="9">
        <v>0</v>
      </c>
      <c r="F721" s="9">
        <v>1</v>
      </c>
      <c r="G721" s="9">
        <v>0</v>
      </c>
      <c r="H721" s="9">
        <v>1</v>
      </c>
      <c r="I721" s="9">
        <v>1</v>
      </c>
      <c r="J721" s="9">
        <v>0</v>
      </c>
      <c r="K721" s="9">
        <v>1</v>
      </c>
      <c r="L721" s="9">
        <v>0</v>
      </c>
      <c r="M721" s="9">
        <v>0</v>
      </c>
      <c r="N721" s="9">
        <v>0</v>
      </c>
      <c r="O721" s="9">
        <v>1</v>
      </c>
      <c r="P721" s="9">
        <v>0</v>
      </c>
      <c r="Q721" s="9">
        <v>1</v>
      </c>
      <c r="R721" s="9">
        <v>0</v>
      </c>
      <c r="S721" s="1">
        <f t="shared" si="6"/>
        <v>6</v>
      </c>
    </row>
    <row r="722" spans="2:19" ht="13.2" x14ac:dyDescent="0.25">
      <c r="B722" s="110"/>
      <c r="C722" s="9">
        <v>2022</v>
      </c>
      <c r="D722" s="9">
        <v>1</v>
      </c>
      <c r="E722" s="9">
        <v>0</v>
      </c>
      <c r="F722" s="9">
        <v>1</v>
      </c>
      <c r="G722" s="9">
        <v>0</v>
      </c>
      <c r="H722" s="9">
        <v>1</v>
      </c>
      <c r="I722" s="9">
        <v>0</v>
      </c>
      <c r="J722" s="9">
        <v>0</v>
      </c>
      <c r="K722" s="9">
        <v>1</v>
      </c>
      <c r="L722" s="9">
        <v>0</v>
      </c>
      <c r="M722" s="9">
        <v>1</v>
      </c>
      <c r="N722" s="9">
        <v>1</v>
      </c>
      <c r="O722" s="9">
        <v>0</v>
      </c>
      <c r="P722" s="9">
        <v>1</v>
      </c>
      <c r="Q722" s="9">
        <v>0</v>
      </c>
      <c r="R722" s="9">
        <v>1</v>
      </c>
      <c r="S722" s="1">
        <f t="shared" si="6"/>
        <v>8</v>
      </c>
    </row>
    <row r="723" spans="2:19" ht="13.2" x14ac:dyDescent="0.25">
      <c r="B723" s="108" t="s">
        <v>98</v>
      </c>
      <c r="C723" s="9">
        <v>2018</v>
      </c>
      <c r="D723" s="9">
        <v>0</v>
      </c>
      <c r="E723" s="9">
        <v>1</v>
      </c>
      <c r="F723" s="9">
        <v>0</v>
      </c>
      <c r="G723" s="9">
        <v>1</v>
      </c>
      <c r="H723" s="9">
        <v>1</v>
      </c>
      <c r="I723" s="9">
        <v>1</v>
      </c>
      <c r="J723" s="9">
        <v>0</v>
      </c>
      <c r="K723" s="9">
        <v>0</v>
      </c>
      <c r="L723" s="9">
        <v>1</v>
      </c>
      <c r="M723" s="9">
        <v>0</v>
      </c>
      <c r="N723" s="9">
        <v>1</v>
      </c>
      <c r="O723" s="9">
        <v>0</v>
      </c>
      <c r="P723" s="9">
        <v>0</v>
      </c>
      <c r="Q723" s="9">
        <v>1</v>
      </c>
      <c r="R723" s="9">
        <v>1</v>
      </c>
      <c r="S723" s="1">
        <f t="shared" si="6"/>
        <v>8</v>
      </c>
    </row>
    <row r="724" spans="2:19" ht="13.2" x14ac:dyDescent="0.25">
      <c r="B724" s="109"/>
      <c r="C724" s="9">
        <v>2019</v>
      </c>
      <c r="D724" s="9">
        <v>1</v>
      </c>
      <c r="E724" s="9">
        <v>1</v>
      </c>
      <c r="F724" s="9">
        <v>1</v>
      </c>
      <c r="G724" s="9">
        <v>1</v>
      </c>
      <c r="H724" s="9">
        <v>0</v>
      </c>
      <c r="I724" s="9">
        <v>1</v>
      </c>
      <c r="J724" s="9">
        <v>0</v>
      </c>
      <c r="K724" s="9">
        <v>1</v>
      </c>
      <c r="L724" s="9">
        <v>0</v>
      </c>
      <c r="M724" s="9">
        <v>1</v>
      </c>
      <c r="N724" s="9">
        <v>1</v>
      </c>
      <c r="O724" s="9">
        <v>1</v>
      </c>
      <c r="P724" s="9">
        <v>0</v>
      </c>
      <c r="Q724" s="9">
        <v>0</v>
      </c>
      <c r="R724" s="9">
        <v>1</v>
      </c>
      <c r="S724" s="1">
        <f t="shared" si="6"/>
        <v>10</v>
      </c>
    </row>
    <row r="725" spans="2:19" ht="13.2" x14ac:dyDescent="0.25">
      <c r="B725" s="109"/>
      <c r="C725" s="9">
        <v>2020</v>
      </c>
      <c r="D725" s="9">
        <v>1</v>
      </c>
      <c r="E725" s="9">
        <v>1</v>
      </c>
      <c r="F725" s="9">
        <v>0</v>
      </c>
      <c r="G725" s="9">
        <v>1</v>
      </c>
      <c r="H725" s="9">
        <v>0</v>
      </c>
      <c r="I725" s="9">
        <v>1</v>
      </c>
      <c r="J725" s="9">
        <v>0</v>
      </c>
      <c r="K725" s="9">
        <v>1</v>
      </c>
      <c r="L725" s="9">
        <v>0</v>
      </c>
      <c r="M725" s="9">
        <v>1</v>
      </c>
      <c r="N725" s="9">
        <v>0</v>
      </c>
      <c r="O725" s="9">
        <v>0</v>
      </c>
      <c r="P725" s="9">
        <v>1</v>
      </c>
      <c r="Q725" s="9">
        <v>0</v>
      </c>
      <c r="R725" s="9">
        <v>0</v>
      </c>
      <c r="S725" s="1">
        <f t="shared" si="6"/>
        <v>7</v>
      </c>
    </row>
    <row r="726" spans="2:19" ht="13.2" x14ac:dyDescent="0.25">
      <c r="B726" s="109"/>
      <c r="C726" s="9">
        <v>2021</v>
      </c>
      <c r="D726" s="9">
        <v>0</v>
      </c>
      <c r="E726" s="9">
        <v>0</v>
      </c>
      <c r="F726" s="9">
        <v>1</v>
      </c>
      <c r="G726" s="9">
        <v>0</v>
      </c>
      <c r="H726" s="9">
        <v>0</v>
      </c>
      <c r="I726" s="9">
        <v>0</v>
      </c>
      <c r="J726" s="9">
        <v>0</v>
      </c>
      <c r="K726" s="9">
        <v>0</v>
      </c>
      <c r="L726" s="9">
        <v>1</v>
      </c>
      <c r="M726" s="9">
        <v>0</v>
      </c>
      <c r="N726" s="9">
        <v>1</v>
      </c>
      <c r="O726" s="9">
        <v>1</v>
      </c>
      <c r="P726" s="9">
        <v>1</v>
      </c>
      <c r="Q726" s="9">
        <v>0</v>
      </c>
      <c r="R726" s="9">
        <v>0</v>
      </c>
      <c r="S726" s="1">
        <f t="shared" si="6"/>
        <v>5</v>
      </c>
    </row>
    <row r="727" spans="2:19" ht="13.2" x14ac:dyDescent="0.25">
      <c r="B727" s="110"/>
      <c r="C727" s="9">
        <v>2022</v>
      </c>
      <c r="D727" s="9">
        <v>0</v>
      </c>
      <c r="E727" s="9">
        <v>1</v>
      </c>
      <c r="F727" s="9">
        <v>1</v>
      </c>
      <c r="G727" s="9">
        <v>1</v>
      </c>
      <c r="H727" s="9">
        <v>0</v>
      </c>
      <c r="I727" s="9">
        <v>1</v>
      </c>
      <c r="J727" s="9">
        <v>1</v>
      </c>
      <c r="K727" s="9">
        <v>1</v>
      </c>
      <c r="L727" s="9">
        <v>0</v>
      </c>
      <c r="M727" s="9">
        <v>0</v>
      </c>
      <c r="N727" s="9">
        <v>1</v>
      </c>
      <c r="O727" s="9">
        <v>0</v>
      </c>
      <c r="P727" s="9">
        <v>1</v>
      </c>
      <c r="Q727" s="9">
        <v>1</v>
      </c>
      <c r="R727" s="9">
        <v>0</v>
      </c>
      <c r="S727" s="1">
        <f t="shared" si="6"/>
        <v>9</v>
      </c>
    </row>
    <row r="728" spans="2:19" ht="13.2" x14ac:dyDescent="0.25">
      <c r="B728" s="108" t="s">
        <v>114</v>
      </c>
      <c r="C728" s="9">
        <v>2018</v>
      </c>
      <c r="D728" s="9">
        <v>1</v>
      </c>
      <c r="E728" s="9">
        <v>1</v>
      </c>
      <c r="F728" s="9">
        <v>1</v>
      </c>
      <c r="G728" s="9">
        <v>1</v>
      </c>
      <c r="H728" s="9">
        <v>1</v>
      </c>
      <c r="I728" s="9">
        <v>1</v>
      </c>
      <c r="J728" s="9">
        <v>0</v>
      </c>
      <c r="K728" s="9">
        <v>0</v>
      </c>
      <c r="L728" s="9">
        <v>0</v>
      </c>
      <c r="M728" s="9">
        <v>0</v>
      </c>
      <c r="N728" s="9">
        <v>0</v>
      </c>
      <c r="O728" s="9">
        <v>0</v>
      </c>
      <c r="P728" s="9">
        <v>1</v>
      </c>
      <c r="Q728" s="9">
        <v>1</v>
      </c>
      <c r="R728" s="9">
        <v>0</v>
      </c>
      <c r="S728" s="1">
        <f t="shared" si="6"/>
        <v>8</v>
      </c>
    </row>
    <row r="729" spans="2:19" ht="13.2" x14ac:dyDescent="0.25">
      <c r="B729" s="109"/>
      <c r="C729" s="9">
        <v>2019</v>
      </c>
      <c r="D729" s="9">
        <v>0</v>
      </c>
      <c r="E729" s="9">
        <v>0</v>
      </c>
      <c r="F729" s="9">
        <v>1</v>
      </c>
      <c r="G729" s="9">
        <v>1</v>
      </c>
      <c r="H729" s="9">
        <v>0</v>
      </c>
      <c r="I729" s="9">
        <v>1</v>
      </c>
      <c r="J729" s="9">
        <v>1</v>
      </c>
      <c r="K729" s="9">
        <v>1</v>
      </c>
      <c r="L729" s="9">
        <v>0</v>
      </c>
      <c r="M729" s="9">
        <v>1</v>
      </c>
      <c r="N729" s="9">
        <v>0</v>
      </c>
      <c r="O729" s="9">
        <v>1</v>
      </c>
      <c r="P729" s="9">
        <v>1</v>
      </c>
      <c r="Q729" s="9">
        <v>0</v>
      </c>
      <c r="R729" s="9">
        <v>1</v>
      </c>
      <c r="S729" s="1">
        <f t="shared" si="6"/>
        <v>9</v>
      </c>
    </row>
    <row r="730" spans="2:19" ht="13.2" x14ac:dyDescent="0.25">
      <c r="B730" s="109"/>
      <c r="C730" s="9">
        <v>2020</v>
      </c>
      <c r="D730" s="9">
        <v>1</v>
      </c>
      <c r="E730" s="9">
        <v>0</v>
      </c>
      <c r="F730" s="9">
        <v>0</v>
      </c>
      <c r="G730" s="9">
        <v>0</v>
      </c>
      <c r="H730" s="9">
        <v>1</v>
      </c>
      <c r="I730" s="9">
        <v>0</v>
      </c>
      <c r="J730" s="9">
        <v>0</v>
      </c>
      <c r="K730" s="9">
        <v>0</v>
      </c>
      <c r="L730" s="9">
        <v>1</v>
      </c>
      <c r="M730" s="9">
        <v>0</v>
      </c>
      <c r="N730" s="9">
        <v>1</v>
      </c>
      <c r="O730" s="9">
        <v>1</v>
      </c>
      <c r="P730" s="9">
        <v>1</v>
      </c>
      <c r="Q730" s="9">
        <v>0</v>
      </c>
      <c r="R730" s="9">
        <v>0</v>
      </c>
      <c r="S730" s="1">
        <f t="shared" si="6"/>
        <v>6</v>
      </c>
    </row>
    <row r="731" spans="2:19" ht="13.2" x14ac:dyDescent="0.25">
      <c r="B731" s="109"/>
      <c r="C731" s="9">
        <v>2021</v>
      </c>
      <c r="D731" s="9">
        <v>0</v>
      </c>
      <c r="E731" s="9">
        <v>0</v>
      </c>
      <c r="F731" s="9">
        <v>0</v>
      </c>
      <c r="G731" s="9">
        <v>0</v>
      </c>
      <c r="H731" s="9">
        <v>1</v>
      </c>
      <c r="I731" s="9">
        <v>0</v>
      </c>
      <c r="J731" s="9">
        <v>0</v>
      </c>
      <c r="K731" s="9">
        <v>0</v>
      </c>
      <c r="L731" s="9">
        <v>0</v>
      </c>
      <c r="M731" s="9">
        <v>0</v>
      </c>
      <c r="N731" s="9">
        <v>0</v>
      </c>
      <c r="O731" s="9">
        <v>1</v>
      </c>
      <c r="P731" s="9">
        <v>1</v>
      </c>
      <c r="Q731" s="9">
        <v>0</v>
      </c>
      <c r="R731" s="9">
        <v>1</v>
      </c>
      <c r="S731" s="1">
        <f t="shared" si="6"/>
        <v>4</v>
      </c>
    </row>
    <row r="732" spans="2:19" ht="13.2" x14ac:dyDescent="0.25">
      <c r="B732" s="110"/>
      <c r="C732" s="9">
        <v>2022</v>
      </c>
      <c r="D732" s="9">
        <v>1</v>
      </c>
      <c r="E732" s="9">
        <v>0</v>
      </c>
      <c r="F732" s="9">
        <v>0</v>
      </c>
      <c r="G732" s="9">
        <v>1</v>
      </c>
      <c r="H732" s="9">
        <v>0</v>
      </c>
      <c r="I732" s="9">
        <v>1</v>
      </c>
      <c r="J732" s="9">
        <v>1</v>
      </c>
      <c r="K732" s="9">
        <v>1</v>
      </c>
      <c r="L732" s="9">
        <v>1</v>
      </c>
      <c r="M732" s="9">
        <v>1</v>
      </c>
      <c r="N732" s="9">
        <v>1</v>
      </c>
      <c r="O732" s="9">
        <v>0</v>
      </c>
      <c r="P732" s="9">
        <v>1</v>
      </c>
      <c r="Q732" s="9">
        <v>0</v>
      </c>
      <c r="R732" s="9">
        <v>1</v>
      </c>
      <c r="S732" s="1">
        <f t="shared" si="6"/>
        <v>10</v>
      </c>
    </row>
    <row r="733" spans="2:19" ht="13.2" x14ac:dyDescent="0.25">
      <c r="B733" s="108" t="s">
        <v>129</v>
      </c>
      <c r="C733" s="9">
        <v>2018</v>
      </c>
      <c r="D733" s="9">
        <v>1</v>
      </c>
      <c r="E733" s="9">
        <v>1</v>
      </c>
      <c r="F733" s="9">
        <v>0</v>
      </c>
      <c r="G733" s="9">
        <v>0</v>
      </c>
      <c r="H733" s="9">
        <v>1</v>
      </c>
      <c r="I733" s="9">
        <v>0</v>
      </c>
      <c r="J733" s="9">
        <v>0</v>
      </c>
      <c r="K733" s="9">
        <v>0</v>
      </c>
      <c r="L733" s="9">
        <v>0</v>
      </c>
      <c r="M733" s="9">
        <v>0</v>
      </c>
      <c r="N733" s="9">
        <v>0</v>
      </c>
      <c r="O733" s="9">
        <v>0</v>
      </c>
      <c r="P733" s="9">
        <v>0</v>
      </c>
      <c r="Q733" s="9">
        <v>0</v>
      </c>
      <c r="R733" s="9">
        <v>0</v>
      </c>
      <c r="S733" s="1">
        <f t="shared" si="6"/>
        <v>3</v>
      </c>
    </row>
    <row r="734" spans="2:19" ht="13.2" x14ac:dyDescent="0.25">
      <c r="B734" s="109"/>
      <c r="C734" s="9">
        <v>2019</v>
      </c>
      <c r="D734" s="9">
        <v>0</v>
      </c>
      <c r="E734" s="9">
        <v>1</v>
      </c>
      <c r="F734" s="9">
        <v>0</v>
      </c>
      <c r="G734" s="9">
        <v>1</v>
      </c>
      <c r="H734" s="9">
        <v>0</v>
      </c>
      <c r="I734" s="9">
        <v>1</v>
      </c>
      <c r="J734" s="9">
        <v>1</v>
      </c>
      <c r="K734" s="9">
        <v>1</v>
      </c>
      <c r="L734" s="9">
        <v>0</v>
      </c>
      <c r="M734" s="9">
        <v>0</v>
      </c>
      <c r="N734" s="9">
        <v>1</v>
      </c>
      <c r="O734" s="9">
        <v>0</v>
      </c>
      <c r="P734" s="9">
        <v>1</v>
      </c>
      <c r="Q734" s="9">
        <v>0</v>
      </c>
      <c r="R734" s="9">
        <v>0</v>
      </c>
      <c r="S734" s="1">
        <f t="shared" si="6"/>
        <v>7</v>
      </c>
    </row>
    <row r="735" spans="2:19" ht="13.2" x14ac:dyDescent="0.25">
      <c r="B735" s="109"/>
      <c r="C735" s="9">
        <v>2020</v>
      </c>
      <c r="D735" s="9">
        <v>1</v>
      </c>
      <c r="E735" s="9">
        <v>0</v>
      </c>
      <c r="F735" s="9">
        <v>1</v>
      </c>
      <c r="G735" s="9">
        <v>1</v>
      </c>
      <c r="H735" s="9">
        <v>1</v>
      </c>
      <c r="I735" s="9">
        <v>0</v>
      </c>
      <c r="J735" s="9">
        <v>1</v>
      </c>
      <c r="K735" s="9">
        <v>1</v>
      </c>
      <c r="L735" s="9">
        <v>0</v>
      </c>
      <c r="M735" s="9">
        <v>1</v>
      </c>
      <c r="N735" s="9">
        <v>0</v>
      </c>
      <c r="O735" s="9">
        <v>1</v>
      </c>
      <c r="P735" s="9">
        <v>1</v>
      </c>
      <c r="Q735" s="9">
        <v>0</v>
      </c>
      <c r="R735" s="9">
        <v>0</v>
      </c>
      <c r="S735" s="1">
        <f t="shared" si="6"/>
        <v>9</v>
      </c>
    </row>
    <row r="736" spans="2:19" ht="13.2" x14ac:dyDescent="0.25">
      <c r="B736" s="109"/>
      <c r="C736" s="9">
        <v>2021</v>
      </c>
      <c r="D736" s="9">
        <v>1</v>
      </c>
      <c r="E736" s="9">
        <v>1</v>
      </c>
      <c r="F736" s="9">
        <v>0</v>
      </c>
      <c r="G736" s="9">
        <v>1</v>
      </c>
      <c r="H736" s="9">
        <v>0</v>
      </c>
      <c r="I736" s="9">
        <v>0</v>
      </c>
      <c r="J736" s="9">
        <v>1</v>
      </c>
      <c r="K736" s="9">
        <v>0</v>
      </c>
      <c r="L736" s="9">
        <v>1</v>
      </c>
      <c r="M736" s="9">
        <v>1</v>
      </c>
      <c r="N736" s="9">
        <v>1</v>
      </c>
      <c r="O736" s="9">
        <v>1</v>
      </c>
      <c r="P736" s="9">
        <v>0</v>
      </c>
      <c r="Q736" s="9">
        <v>1</v>
      </c>
      <c r="R736" s="9">
        <v>1</v>
      </c>
      <c r="S736" s="1">
        <f t="shared" si="6"/>
        <v>10</v>
      </c>
    </row>
    <row r="737" spans="2:19" ht="13.2" x14ac:dyDescent="0.25">
      <c r="B737" s="110"/>
      <c r="C737" s="9">
        <v>2022</v>
      </c>
      <c r="D737" s="9">
        <v>1</v>
      </c>
      <c r="E737" s="9">
        <v>0</v>
      </c>
      <c r="F737" s="9">
        <v>1</v>
      </c>
      <c r="G737" s="9">
        <v>0</v>
      </c>
      <c r="H737" s="9">
        <v>1</v>
      </c>
      <c r="I737" s="9">
        <v>1</v>
      </c>
      <c r="J737" s="9">
        <v>1</v>
      </c>
      <c r="K737" s="9">
        <v>1</v>
      </c>
      <c r="L737" s="9">
        <v>1</v>
      </c>
      <c r="M737" s="9">
        <v>1</v>
      </c>
      <c r="N737" s="9">
        <v>1</v>
      </c>
      <c r="O737" s="9">
        <v>0</v>
      </c>
      <c r="P737" s="9">
        <v>0</v>
      </c>
      <c r="Q737" s="9">
        <v>0</v>
      </c>
      <c r="R737" s="9">
        <v>1</v>
      </c>
      <c r="S737" s="1">
        <f t="shared" si="6"/>
        <v>10</v>
      </c>
    </row>
    <row r="738" spans="2:19" ht="13.2" x14ac:dyDescent="0.25">
      <c r="B738" s="108" t="s">
        <v>140</v>
      </c>
      <c r="C738" s="9">
        <v>2018</v>
      </c>
      <c r="D738" s="9">
        <v>1</v>
      </c>
      <c r="E738" s="9">
        <v>1</v>
      </c>
      <c r="F738" s="9">
        <v>0</v>
      </c>
      <c r="G738" s="9">
        <v>1</v>
      </c>
      <c r="H738" s="9">
        <v>1</v>
      </c>
      <c r="I738" s="9">
        <v>1</v>
      </c>
      <c r="J738" s="9">
        <v>0</v>
      </c>
      <c r="K738" s="9">
        <v>0</v>
      </c>
      <c r="L738" s="9">
        <v>1</v>
      </c>
      <c r="M738" s="9">
        <v>0</v>
      </c>
      <c r="N738" s="9">
        <v>1</v>
      </c>
      <c r="O738" s="9">
        <v>1</v>
      </c>
      <c r="P738" s="9">
        <v>1</v>
      </c>
      <c r="Q738" s="9">
        <v>1</v>
      </c>
      <c r="R738" s="9">
        <v>1</v>
      </c>
      <c r="S738" s="1">
        <f t="shared" si="6"/>
        <v>11</v>
      </c>
    </row>
    <row r="739" spans="2:19" ht="13.2" x14ac:dyDescent="0.25">
      <c r="B739" s="109"/>
      <c r="C739" s="9">
        <v>2019</v>
      </c>
      <c r="D739" s="9">
        <v>1</v>
      </c>
      <c r="E739" s="9">
        <v>1</v>
      </c>
      <c r="F739" s="9">
        <v>0</v>
      </c>
      <c r="G739" s="9">
        <v>0</v>
      </c>
      <c r="H739" s="9">
        <v>1</v>
      </c>
      <c r="I739" s="9">
        <v>1</v>
      </c>
      <c r="J739" s="9">
        <v>1</v>
      </c>
      <c r="K739" s="9">
        <v>0</v>
      </c>
      <c r="L739" s="9">
        <v>0</v>
      </c>
      <c r="M739" s="9">
        <v>0</v>
      </c>
      <c r="N739" s="9">
        <v>0</v>
      </c>
      <c r="O739" s="9">
        <v>1</v>
      </c>
      <c r="P739" s="9">
        <v>0</v>
      </c>
      <c r="Q739" s="9">
        <v>0</v>
      </c>
      <c r="R739" s="9">
        <v>1</v>
      </c>
      <c r="S739" s="1">
        <f t="shared" si="6"/>
        <v>7</v>
      </c>
    </row>
    <row r="740" spans="2:19" ht="13.2" x14ac:dyDescent="0.25">
      <c r="B740" s="109"/>
      <c r="C740" s="9">
        <v>2020</v>
      </c>
      <c r="D740" s="9">
        <v>0</v>
      </c>
      <c r="E740" s="9">
        <v>1</v>
      </c>
      <c r="F740" s="9">
        <v>1</v>
      </c>
      <c r="G740" s="9">
        <v>1</v>
      </c>
      <c r="H740" s="9">
        <v>0</v>
      </c>
      <c r="I740" s="9">
        <v>1</v>
      </c>
      <c r="J740" s="9">
        <v>1</v>
      </c>
      <c r="K740" s="9">
        <v>1</v>
      </c>
      <c r="L740" s="9">
        <v>0</v>
      </c>
      <c r="M740" s="9">
        <v>1</v>
      </c>
      <c r="N740" s="9">
        <v>0</v>
      </c>
      <c r="O740" s="9">
        <v>1</v>
      </c>
      <c r="P740" s="9">
        <v>1</v>
      </c>
      <c r="Q740" s="9">
        <v>1</v>
      </c>
      <c r="R740" s="9">
        <v>0</v>
      </c>
      <c r="S740" s="1">
        <f t="shared" si="6"/>
        <v>10</v>
      </c>
    </row>
    <row r="741" spans="2:19" ht="13.2" x14ac:dyDescent="0.25">
      <c r="B741" s="109"/>
      <c r="C741" s="9">
        <v>2021</v>
      </c>
      <c r="D741" s="9">
        <v>1</v>
      </c>
      <c r="E741" s="9">
        <v>0</v>
      </c>
      <c r="F741" s="9">
        <v>1</v>
      </c>
      <c r="G741" s="9">
        <v>0</v>
      </c>
      <c r="H741" s="9">
        <v>1</v>
      </c>
      <c r="I741" s="9">
        <v>0</v>
      </c>
      <c r="J741" s="9">
        <v>0</v>
      </c>
      <c r="K741" s="9">
        <v>0</v>
      </c>
      <c r="L741" s="9">
        <v>0</v>
      </c>
      <c r="M741" s="9">
        <v>0</v>
      </c>
      <c r="N741" s="9">
        <v>0</v>
      </c>
      <c r="O741" s="9">
        <v>0</v>
      </c>
      <c r="P741" s="9">
        <v>0</v>
      </c>
      <c r="Q741" s="9">
        <v>0</v>
      </c>
      <c r="R741" s="9">
        <v>1</v>
      </c>
      <c r="S741" s="1">
        <f t="shared" si="6"/>
        <v>4</v>
      </c>
    </row>
    <row r="742" spans="2:19" ht="13.2" x14ac:dyDescent="0.25">
      <c r="B742" s="110"/>
      <c r="C742" s="9">
        <v>2022</v>
      </c>
      <c r="D742" s="9">
        <v>1</v>
      </c>
      <c r="E742" s="9">
        <v>1</v>
      </c>
      <c r="F742" s="9">
        <v>1</v>
      </c>
      <c r="G742" s="9">
        <v>1</v>
      </c>
      <c r="H742" s="9">
        <v>0</v>
      </c>
      <c r="I742" s="9">
        <v>1</v>
      </c>
      <c r="J742" s="9">
        <v>0</v>
      </c>
      <c r="K742" s="9">
        <v>0</v>
      </c>
      <c r="L742" s="9">
        <v>0</v>
      </c>
      <c r="M742" s="9">
        <v>1</v>
      </c>
      <c r="N742" s="9">
        <v>1</v>
      </c>
      <c r="O742" s="9">
        <v>1</v>
      </c>
      <c r="P742" s="9">
        <v>0</v>
      </c>
      <c r="Q742" s="9">
        <v>0</v>
      </c>
      <c r="R742" s="9">
        <v>1</v>
      </c>
      <c r="S742" s="1">
        <f t="shared" si="6"/>
        <v>9</v>
      </c>
    </row>
    <row r="743" spans="2:19" ht="13.2" x14ac:dyDescent="0.25">
      <c r="B743" s="108" t="s">
        <v>150</v>
      </c>
      <c r="C743" s="9">
        <v>2018</v>
      </c>
      <c r="D743" s="9">
        <v>0</v>
      </c>
      <c r="E743" s="9">
        <v>1</v>
      </c>
      <c r="F743" s="9">
        <v>1</v>
      </c>
      <c r="G743" s="9">
        <v>0</v>
      </c>
      <c r="H743" s="9">
        <v>1</v>
      </c>
      <c r="I743" s="9">
        <v>1</v>
      </c>
      <c r="J743" s="9">
        <v>1</v>
      </c>
      <c r="K743" s="9">
        <v>0</v>
      </c>
      <c r="L743" s="9">
        <v>0</v>
      </c>
      <c r="M743" s="9">
        <v>0</v>
      </c>
      <c r="N743" s="9">
        <v>0</v>
      </c>
      <c r="O743" s="9">
        <v>1</v>
      </c>
      <c r="P743" s="9">
        <v>0</v>
      </c>
      <c r="Q743" s="9">
        <v>1</v>
      </c>
      <c r="R743" s="9">
        <v>1</v>
      </c>
      <c r="S743" s="1">
        <f t="shared" si="6"/>
        <v>8</v>
      </c>
    </row>
    <row r="744" spans="2:19" ht="13.2" x14ac:dyDescent="0.25">
      <c r="B744" s="109"/>
      <c r="C744" s="9">
        <v>2019</v>
      </c>
      <c r="D744" s="9">
        <v>0</v>
      </c>
      <c r="E744" s="9">
        <v>0</v>
      </c>
      <c r="F744" s="9">
        <v>0</v>
      </c>
      <c r="G744" s="9">
        <v>1</v>
      </c>
      <c r="H744" s="9">
        <v>1</v>
      </c>
      <c r="I744" s="9">
        <v>0</v>
      </c>
      <c r="J744" s="9">
        <v>0</v>
      </c>
      <c r="K744" s="9">
        <v>1</v>
      </c>
      <c r="L744" s="9">
        <v>1</v>
      </c>
      <c r="M744" s="9">
        <v>0</v>
      </c>
      <c r="N744" s="9">
        <v>0</v>
      </c>
      <c r="O744" s="9">
        <v>1</v>
      </c>
      <c r="P744" s="9">
        <v>0</v>
      </c>
      <c r="Q744" s="9">
        <v>1</v>
      </c>
      <c r="R744" s="9">
        <v>1</v>
      </c>
      <c r="S744" s="1">
        <f t="shared" si="6"/>
        <v>7</v>
      </c>
    </row>
    <row r="745" spans="2:19" ht="13.2" x14ac:dyDescent="0.25">
      <c r="B745" s="109"/>
      <c r="C745" s="9">
        <v>2020</v>
      </c>
      <c r="D745" s="9">
        <v>0</v>
      </c>
      <c r="E745" s="9">
        <v>1</v>
      </c>
      <c r="F745" s="9">
        <v>0</v>
      </c>
      <c r="G745" s="9">
        <v>0</v>
      </c>
      <c r="H745" s="9">
        <v>1</v>
      </c>
      <c r="I745" s="9">
        <v>0</v>
      </c>
      <c r="J745" s="9">
        <v>1</v>
      </c>
      <c r="K745" s="9">
        <v>1</v>
      </c>
      <c r="L745" s="9">
        <v>0</v>
      </c>
      <c r="M745" s="9">
        <v>1</v>
      </c>
      <c r="N745" s="9">
        <v>1</v>
      </c>
      <c r="O745" s="9">
        <v>0</v>
      </c>
      <c r="P745" s="9">
        <v>0</v>
      </c>
      <c r="Q745" s="9">
        <v>0</v>
      </c>
      <c r="R745" s="9">
        <v>0</v>
      </c>
      <c r="S745" s="1">
        <f t="shared" si="6"/>
        <v>6</v>
      </c>
    </row>
    <row r="746" spans="2:19" ht="13.2" x14ac:dyDescent="0.25">
      <c r="B746" s="109"/>
      <c r="C746" s="9">
        <v>2021</v>
      </c>
      <c r="D746" s="9">
        <v>0</v>
      </c>
      <c r="E746" s="9">
        <v>1</v>
      </c>
      <c r="F746" s="9">
        <v>1</v>
      </c>
      <c r="G746" s="9">
        <v>0</v>
      </c>
      <c r="H746" s="9">
        <v>0</v>
      </c>
      <c r="I746" s="9">
        <v>0</v>
      </c>
      <c r="J746" s="9">
        <v>0</v>
      </c>
      <c r="K746" s="9">
        <v>0</v>
      </c>
      <c r="L746" s="9">
        <v>1</v>
      </c>
      <c r="M746" s="9">
        <v>0</v>
      </c>
      <c r="N746" s="9">
        <v>1</v>
      </c>
      <c r="O746" s="9">
        <v>0</v>
      </c>
      <c r="P746" s="9">
        <v>1</v>
      </c>
      <c r="Q746" s="9">
        <v>0</v>
      </c>
      <c r="R746" s="9">
        <v>1</v>
      </c>
      <c r="S746" s="1">
        <f t="shared" si="6"/>
        <v>6</v>
      </c>
    </row>
    <row r="747" spans="2:19" ht="13.2" x14ac:dyDescent="0.25">
      <c r="B747" s="110"/>
      <c r="C747" s="9">
        <v>2022</v>
      </c>
      <c r="D747" s="9">
        <v>1</v>
      </c>
      <c r="E747" s="9">
        <v>1</v>
      </c>
      <c r="F747" s="9">
        <v>1</v>
      </c>
      <c r="G747" s="9">
        <v>0</v>
      </c>
      <c r="H747" s="9">
        <v>1</v>
      </c>
      <c r="I747" s="9">
        <v>0</v>
      </c>
      <c r="J747" s="9">
        <v>0</v>
      </c>
      <c r="K747" s="9">
        <v>0</v>
      </c>
      <c r="L747" s="9">
        <v>0</v>
      </c>
      <c r="M747" s="9">
        <v>1</v>
      </c>
      <c r="N747" s="9">
        <v>0</v>
      </c>
      <c r="O747" s="9">
        <v>0</v>
      </c>
      <c r="P747" s="9">
        <v>1</v>
      </c>
      <c r="Q747" s="9">
        <v>1</v>
      </c>
      <c r="R747" s="9">
        <v>0</v>
      </c>
      <c r="S747" s="1">
        <f t="shared" si="6"/>
        <v>7</v>
      </c>
    </row>
    <row r="748" spans="2:19" ht="13.2" x14ac:dyDescent="0.25">
      <c r="B748" s="108" t="s">
        <v>156</v>
      </c>
      <c r="C748" s="9">
        <v>2018</v>
      </c>
      <c r="D748" s="9">
        <v>0</v>
      </c>
      <c r="E748" s="9">
        <v>1</v>
      </c>
      <c r="F748" s="9">
        <v>1</v>
      </c>
      <c r="G748" s="9">
        <v>0</v>
      </c>
      <c r="H748" s="9">
        <v>1</v>
      </c>
      <c r="I748" s="9">
        <v>1</v>
      </c>
      <c r="J748" s="9">
        <v>0</v>
      </c>
      <c r="K748" s="9">
        <v>1</v>
      </c>
      <c r="L748" s="9">
        <v>1</v>
      </c>
      <c r="M748" s="9">
        <v>1</v>
      </c>
      <c r="N748" s="9">
        <v>1</v>
      </c>
      <c r="O748" s="9">
        <v>1</v>
      </c>
      <c r="P748" s="9">
        <v>1</v>
      </c>
      <c r="Q748" s="9">
        <v>0</v>
      </c>
      <c r="R748" s="9">
        <v>1</v>
      </c>
      <c r="S748" s="1">
        <f t="shared" si="6"/>
        <v>11</v>
      </c>
    </row>
    <row r="749" spans="2:19" ht="13.2" x14ac:dyDescent="0.25">
      <c r="B749" s="109"/>
      <c r="C749" s="9">
        <v>2019</v>
      </c>
      <c r="D749" s="9">
        <v>0</v>
      </c>
      <c r="E749" s="9">
        <v>0</v>
      </c>
      <c r="F749" s="9">
        <v>0</v>
      </c>
      <c r="G749" s="9">
        <v>1</v>
      </c>
      <c r="H749" s="9">
        <v>0</v>
      </c>
      <c r="I749" s="9">
        <v>0</v>
      </c>
      <c r="J749" s="9">
        <v>0</v>
      </c>
      <c r="K749" s="9">
        <v>0</v>
      </c>
      <c r="L749" s="9">
        <v>0</v>
      </c>
      <c r="M749" s="9">
        <v>0</v>
      </c>
      <c r="N749" s="9">
        <v>0</v>
      </c>
      <c r="O749" s="9">
        <v>1</v>
      </c>
      <c r="P749" s="9">
        <v>1</v>
      </c>
      <c r="Q749" s="9">
        <v>1</v>
      </c>
      <c r="R749" s="9">
        <v>1</v>
      </c>
      <c r="S749" s="1">
        <f t="shared" si="6"/>
        <v>5</v>
      </c>
    </row>
    <row r="750" spans="2:19" ht="13.2" x14ac:dyDescent="0.25">
      <c r="B750" s="109"/>
      <c r="C750" s="9">
        <v>2020</v>
      </c>
      <c r="D750" s="9">
        <v>1</v>
      </c>
      <c r="E750" s="9">
        <v>1</v>
      </c>
      <c r="F750" s="9">
        <v>0</v>
      </c>
      <c r="G750" s="9">
        <v>0</v>
      </c>
      <c r="H750" s="9">
        <v>1</v>
      </c>
      <c r="I750" s="9">
        <v>1</v>
      </c>
      <c r="J750" s="9">
        <v>0</v>
      </c>
      <c r="K750" s="9">
        <v>0</v>
      </c>
      <c r="L750" s="9">
        <v>0</v>
      </c>
      <c r="M750" s="9">
        <v>1</v>
      </c>
      <c r="N750" s="9">
        <v>0</v>
      </c>
      <c r="O750" s="9">
        <v>1</v>
      </c>
      <c r="P750" s="9">
        <v>1</v>
      </c>
      <c r="Q750" s="9">
        <v>0</v>
      </c>
      <c r="R750" s="9">
        <v>0</v>
      </c>
      <c r="S750" s="1">
        <f t="shared" si="6"/>
        <v>7</v>
      </c>
    </row>
    <row r="751" spans="2:19" ht="13.2" x14ac:dyDescent="0.25">
      <c r="B751" s="109"/>
      <c r="C751" s="9">
        <v>2021</v>
      </c>
      <c r="D751" s="9">
        <v>0</v>
      </c>
      <c r="E751" s="9">
        <v>1</v>
      </c>
      <c r="F751" s="9">
        <v>0</v>
      </c>
      <c r="G751" s="9">
        <v>1</v>
      </c>
      <c r="H751" s="9">
        <v>0</v>
      </c>
      <c r="I751" s="9">
        <v>1</v>
      </c>
      <c r="J751" s="9">
        <v>1</v>
      </c>
      <c r="K751" s="9">
        <v>1</v>
      </c>
      <c r="L751" s="9">
        <v>0</v>
      </c>
      <c r="M751" s="9">
        <v>0</v>
      </c>
      <c r="N751" s="9">
        <v>0</v>
      </c>
      <c r="O751" s="9">
        <v>0</v>
      </c>
      <c r="P751" s="9">
        <v>1</v>
      </c>
      <c r="Q751" s="9">
        <v>1</v>
      </c>
      <c r="R751" s="9">
        <v>1</v>
      </c>
      <c r="S751" s="1">
        <f t="shared" si="6"/>
        <v>8</v>
      </c>
    </row>
    <row r="752" spans="2:19" ht="13.2" x14ac:dyDescent="0.25">
      <c r="B752" s="110"/>
      <c r="C752" s="9">
        <v>2022</v>
      </c>
      <c r="D752" s="9">
        <v>0</v>
      </c>
      <c r="E752" s="9">
        <v>0</v>
      </c>
      <c r="F752" s="9">
        <v>1</v>
      </c>
      <c r="G752" s="9">
        <v>0</v>
      </c>
      <c r="H752" s="9">
        <v>1</v>
      </c>
      <c r="I752" s="9">
        <v>1</v>
      </c>
      <c r="J752" s="9">
        <v>0</v>
      </c>
      <c r="K752" s="9">
        <v>0</v>
      </c>
      <c r="L752" s="9">
        <v>1</v>
      </c>
      <c r="M752" s="9">
        <v>1</v>
      </c>
      <c r="N752" s="9">
        <v>1</v>
      </c>
      <c r="O752" s="9">
        <v>1</v>
      </c>
      <c r="P752" s="9">
        <v>1</v>
      </c>
      <c r="Q752" s="9">
        <v>1</v>
      </c>
      <c r="R752" s="9">
        <v>1</v>
      </c>
      <c r="S752" s="1">
        <f t="shared" si="6"/>
        <v>10</v>
      </c>
    </row>
    <row r="753" spans="2:19" ht="13.2" x14ac:dyDescent="0.25">
      <c r="B753" s="108" t="s">
        <v>162</v>
      </c>
      <c r="C753" s="9">
        <v>2018</v>
      </c>
      <c r="D753" s="9">
        <v>1</v>
      </c>
      <c r="E753" s="9">
        <v>1</v>
      </c>
      <c r="F753" s="9">
        <v>0</v>
      </c>
      <c r="G753" s="9">
        <v>0</v>
      </c>
      <c r="H753" s="9">
        <v>1</v>
      </c>
      <c r="I753" s="9">
        <v>0</v>
      </c>
      <c r="J753" s="9">
        <v>1</v>
      </c>
      <c r="K753" s="9">
        <v>0</v>
      </c>
      <c r="L753" s="9">
        <v>0</v>
      </c>
      <c r="M753" s="9">
        <v>0</v>
      </c>
      <c r="N753" s="9">
        <v>1</v>
      </c>
      <c r="O753" s="9">
        <v>1</v>
      </c>
      <c r="P753" s="9">
        <v>0</v>
      </c>
      <c r="Q753" s="9">
        <v>0</v>
      </c>
      <c r="R753" s="9">
        <v>1</v>
      </c>
      <c r="S753" s="1">
        <f t="shared" si="6"/>
        <v>7</v>
      </c>
    </row>
    <row r="754" spans="2:19" ht="13.2" x14ac:dyDescent="0.25">
      <c r="B754" s="109"/>
      <c r="C754" s="9">
        <v>2019</v>
      </c>
      <c r="D754" s="9">
        <v>0</v>
      </c>
      <c r="E754" s="9">
        <v>1</v>
      </c>
      <c r="F754" s="9">
        <v>1</v>
      </c>
      <c r="G754" s="9">
        <v>0</v>
      </c>
      <c r="H754" s="9">
        <v>0</v>
      </c>
      <c r="I754" s="9">
        <v>1</v>
      </c>
      <c r="J754" s="9">
        <v>1</v>
      </c>
      <c r="K754" s="9">
        <v>0</v>
      </c>
      <c r="L754" s="9">
        <v>1</v>
      </c>
      <c r="M754" s="9">
        <v>0</v>
      </c>
      <c r="N754" s="9">
        <v>1</v>
      </c>
      <c r="O754" s="9">
        <v>1</v>
      </c>
      <c r="P754" s="9">
        <v>1</v>
      </c>
      <c r="Q754" s="9">
        <v>1</v>
      </c>
      <c r="R754" s="9">
        <v>0</v>
      </c>
      <c r="S754" s="1">
        <f t="shared" si="6"/>
        <v>9</v>
      </c>
    </row>
    <row r="755" spans="2:19" ht="13.2" x14ac:dyDescent="0.25">
      <c r="B755" s="109"/>
      <c r="C755" s="9">
        <v>2020</v>
      </c>
      <c r="D755" s="9">
        <v>0</v>
      </c>
      <c r="E755" s="9">
        <v>1</v>
      </c>
      <c r="F755" s="9">
        <v>0</v>
      </c>
      <c r="G755" s="9">
        <v>1</v>
      </c>
      <c r="H755" s="9">
        <v>0</v>
      </c>
      <c r="I755" s="9">
        <v>0</v>
      </c>
      <c r="J755" s="9">
        <v>0</v>
      </c>
      <c r="K755" s="9">
        <v>1</v>
      </c>
      <c r="L755" s="9">
        <v>1</v>
      </c>
      <c r="M755" s="9">
        <v>1</v>
      </c>
      <c r="N755" s="9">
        <v>0</v>
      </c>
      <c r="O755" s="9">
        <v>1</v>
      </c>
      <c r="P755" s="9">
        <v>1</v>
      </c>
      <c r="Q755" s="9">
        <v>0</v>
      </c>
      <c r="R755" s="9">
        <v>1</v>
      </c>
      <c r="S755" s="1">
        <f t="shared" si="6"/>
        <v>8</v>
      </c>
    </row>
    <row r="756" spans="2:19" ht="13.2" x14ac:dyDescent="0.25">
      <c r="B756" s="109"/>
      <c r="C756" s="9">
        <v>2021</v>
      </c>
      <c r="D756" s="9">
        <v>0</v>
      </c>
      <c r="E756" s="9">
        <v>0</v>
      </c>
      <c r="F756" s="9">
        <v>0</v>
      </c>
      <c r="G756" s="9">
        <v>0</v>
      </c>
      <c r="H756" s="9">
        <v>1</v>
      </c>
      <c r="I756" s="9">
        <v>0</v>
      </c>
      <c r="J756" s="9">
        <v>1</v>
      </c>
      <c r="K756" s="9">
        <v>1</v>
      </c>
      <c r="L756" s="9">
        <v>0</v>
      </c>
      <c r="M756" s="9">
        <v>0</v>
      </c>
      <c r="N756" s="9">
        <v>1</v>
      </c>
      <c r="O756" s="9">
        <v>0</v>
      </c>
      <c r="P756" s="9">
        <v>1</v>
      </c>
      <c r="Q756" s="9">
        <v>0</v>
      </c>
      <c r="R756" s="9">
        <v>1</v>
      </c>
      <c r="S756" s="1">
        <f t="shared" si="6"/>
        <v>6</v>
      </c>
    </row>
    <row r="757" spans="2:19" ht="13.2" x14ac:dyDescent="0.25">
      <c r="B757" s="110"/>
      <c r="C757" s="9">
        <v>2022</v>
      </c>
      <c r="D757" s="9">
        <v>1</v>
      </c>
      <c r="E757" s="9">
        <v>1</v>
      </c>
      <c r="F757" s="9">
        <v>0</v>
      </c>
      <c r="G757" s="9">
        <v>1</v>
      </c>
      <c r="H757" s="9">
        <v>1</v>
      </c>
      <c r="I757" s="9">
        <v>0</v>
      </c>
      <c r="J757" s="9">
        <v>0</v>
      </c>
      <c r="K757" s="9">
        <v>1</v>
      </c>
      <c r="L757" s="9">
        <v>1</v>
      </c>
      <c r="M757" s="9">
        <v>0</v>
      </c>
      <c r="N757" s="9">
        <v>0</v>
      </c>
      <c r="O757" s="9">
        <v>0</v>
      </c>
      <c r="P757" s="9">
        <v>0</v>
      </c>
      <c r="Q757" s="9">
        <v>0</v>
      </c>
      <c r="R757" s="9">
        <v>0</v>
      </c>
      <c r="S757" s="1">
        <f t="shared" si="6"/>
        <v>6</v>
      </c>
    </row>
    <row r="758" spans="2:19" ht="13.2" x14ac:dyDescent="0.25">
      <c r="B758" s="108" t="s">
        <v>168</v>
      </c>
      <c r="C758" s="9">
        <v>2018</v>
      </c>
      <c r="D758" s="9">
        <v>1</v>
      </c>
      <c r="E758" s="9">
        <v>1</v>
      </c>
      <c r="F758" s="9">
        <v>0</v>
      </c>
      <c r="G758" s="9">
        <v>0</v>
      </c>
      <c r="H758" s="9">
        <v>1</v>
      </c>
      <c r="I758" s="9">
        <v>0</v>
      </c>
      <c r="J758" s="9">
        <v>0</v>
      </c>
      <c r="K758" s="9">
        <v>1</v>
      </c>
      <c r="L758" s="9">
        <v>1</v>
      </c>
      <c r="M758" s="9">
        <v>1</v>
      </c>
      <c r="N758" s="9">
        <v>0</v>
      </c>
      <c r="O758" s="9">
        <v>0</v>
      </c>
      <c r="P758" s="9">
        <v>1</v>
      </c>
      <c r="Q758" s="9">
        <v>0</v>
      </c>
      <c r="R758" s="9">
        <v>1</v>
      </c>
      <c r="S758" s="1">
        <f t="shared" si="6"/>
        <v>8</v>
      </c>
    </row>
    <row r="759" spans="2:19" ht="13.2" x14ac:dyDescent="0.25">
      <c r="B759" s="109"/>
      <c r="C759" s="9">
        <v>2019</v>
      </c>
      <c r="D759" s="9">
        <v>0</v>
      </c>
      <c r="E759" s="9">
        <v>1</v>
      </c>
      <c r="F759" s="9">
        <v>0</v>
      </c>
      <c r="G759" s="9">
        <v>1</v>
      </c>
      <c r="H759" s="9">
        <v>0</v>
      </c>
      <c r="I759" s="9">
        <v>1</v>
      </c>
      <c r="J759" s="9">
        <v>1</v>
      </c>
      <c r="K759" s="9">
        <v>1</v>
      </c>
      <c r="L759" s="9">
        <v>1</v>
      </c>
      <c r="M759" s="9">
        <v>1</v>
      </c>
      <c r="N759" s="9">
        <v>1</v>
      </c>
      <c r="O759" s="9">
        <v>1</v>
      </c>
      <c r="P759" s="9">
        <v>0</v>
      </c>
      <c r="Q759" s="9">
        <v>1</v>
      </c>
      <c r="R759" s="9">
        <v>0</v>
      </c>
      <c r="S759" s="1">
        <f t="shared" si="6"/>
        <v>10</v>
      </c>
    </row>
    <row r="760" spans="2:19" ht="13.2" x14ac:dyDescent="0.25">
      <c r="B760" s="109"/>
      <c r="C760" s="9">
        <v>2020</v>
      </c>
      <c r="D760" s="9">
        <v>1</v>
      </c>
      <c r="E760" s="9">
        <v>1</v>
      </c>
      <c r="F760" s="9">
        <v>1</v>
      </c>
      <c r="G760" s="9">
        <v>1</v>
      </c>
      <c r="H760" s="9">
        <v>0</v>
      </c>
      <c r="I760" s="9">
        <v>1</v>
      </c>
      <c r="J760" s="9">
        <v>0</v>
      </c>
      <c r="K760" s="9">
        <v>1</v>
      </c>
      <c r="L760" s="9">
        <v>0</v>
      </c>
      <c r="M760" s="9">
        <v>0</v>
      </c>
      <c r="N760" s="9">
        <v>1</v>
      </c>
      <c r="O760" s="9">
        <v>0</v>
      </c>
      <c r="P760" s="9">
        <v>1</v>
      </c>
      <c r="Q760" s="9">
        <v>0</v>
      </c>
      <c r="R760" s="9">
        <v>1</v>
      </c>
      <c r="S760" s="1">
        <f t="shared" si="6"/>
        <v>9</v>
      </c>
    </row>
    <row r="761" spans="2:19" ht="13.2" x14ac:dyDescent="0.25">
      <c r="B761" s="109"/>
      <c r="C761" s="9">
        <v>2021</v>
      </c>
      <c r="D761" s="9">
        <v>1</v>
      </c>
      <c r="E761" s="9">
        <v>0</v>
      </c>
      <c r="F761" s="9">
        <v>0</v>
      </c>
      <c r="G761" s="9">
        <v>0</v>
      </c>
      <c r="H761" s="9">
        <v>0</v>
      </c>
      <c r="I761" s="9">
        <v>0</v>
      </c>
      <c r="J761" s="9">
        <v>0</v>
      </c>
      <c r="K761" s="9">
        <v>1</v>
      </c>
      <c r="L761" s="9">
        <v>0</v>
      </c>
      <c r="M761" s="9">
        <v>0</v>
      </c>
      <c r="N761" s="9">
        <v>0</v>
      </c>
      <c r="O761" s="9">
        <v>0</v>
      </c>
      <c r="P761" s="9">
        <v>0</v>
      </c>
      <c r="Q761" s="9">
        <v>0</v>
      </c>
      <c r="R761" s="9">
        <v>0</v>
      </c>
      <c r="S761" s="1">
        <f t="shared" si="6"/>
        <v>2</v>
      </c>
    </row>
    <row r="762" spans="2:19" ht="13.2" x14ac:dyDescent="0.25">
      <c r="B762" s="110"/>
      <c r="C762" s="9">
        <v>2022</v>
      </c>
      <c r="D762" s="9">
        <v>0</v>
      </c>
      <c r="E762" s="9">
        <v>0</v>
      </c>
      <c r="F762" s="9">
        <v>0</v>
      </c>
      <c r="G762" s="9">
        <v>1</v>
      </c>
      <c r="H762" s="9">
        <v>1</v>
      </c>
      <c r="I762" s="9">
        <v>0</v>
      </c>
      <c r="J762" s="9">
        <v>1</v>
      </c>
      <c r="K762" s="9">
        <v>0</v>
      </c>
      <c r="L762" s="9">
        <v>1</v>
      </c>
      <c r="M762" s="9">
        <v>1</v>
      </c>
      <c r="N762" s="9">
        <v>0</v>
      </c>
      <c r="O762" s="9">
        <v>0</v>
      </c>
      <c r="P762" s="9">
        <v>0</v>
      </c>
      <c r="Q762" s="9">
        <v>1</v>
      </c>
      <c r="R762" s="9">
        <v>0</v>
      </c>
      <c r="S762" s="1">
        <f t="shared" si="6"/>
        <v>6</v>
      </c>
    </row>
    <row r="763" spans="2:19" ht="13.2" x14ac:dyDescent="0.25">
      <c r="B763" s="108" t="s">
        <v>173</v>
      </c>
      <c r="C763" s="9">
        <v>2018</v>
      </c>
      <c r="D763" s="9">
        <v>1</v>
      </c>
      <c r="E763" s="9">
        <v>1</v>
      </c>
      <c r="F763" s="9">
        <v>1</v>
      </c>
      <c r="G763" s="9">
        <v>1</v>
      </c>
      <c r="H763" s="9">
        <v>1</v>
      </c>
      <c r="I763" s="9">
        <v>0</v>
      </c>
      <c r="J763" s="9">
        <v>1</v>
      </c>
      <c r="K763" s="9">
        <v>0</v>
      </c>
      <c r="L763" s="9">
        <v>1</v>
      </c>
      <c r="M763" s="9">
        <v>0</v>
      </c>
      <c r="N763" s="9">
        <v>0</v>
      </c>
      <c r="O763" s="9">
        <v>0</v>
      </c>
      <c r="P763" s="9">
        <v>0</v>
      </c>
      <c r="Q763" s="9">
        <v>0</v>
      </c>
      <c r="R763" s="9">
        <v>1</v>
      </c>
      <c r="S763" s="1">
        <f t="shared" si="6"/>
        <v>8</v>
      </c>
    </row>
    <row r="764" spans="2:19" ht="13.2" x14ac:dyDescent="0.25">
      <c r="B764" s="109"/>
      <c r="C764" s="9">
        <v>2019</v>
      </c>
      <c r="D764" s="9">
        <v>1</v>
      </c>
      <c r="E764" s="9">
        <v>0</v>
      </c>
      <c r="F764" s="9">
        <v>0</v>
      </c>
      <c r="G764" s="9">
        <v>0</v>
      </c>
      <c r="H764" s="9">
        <v>0</v>
      </c>
      <c r="I764" s="9">
        <v>1</v>
      </c>
      <c r="J764" s="9">
        <v>1</v>
      </c>
      <c r="K764" s="9">
        <v>1</v>
      </c>
      <c r="L764" s="9">
        <v>1</v>
      </c>
      <c r="M764" s="9">
        <v>1</v>
      </c>
      <c r="N764" s="9">
        <v>0</v>
      </c>
      <c r="O764" s="9">
        <v>0</v>
      </c>
      <c r="P764" s="9">
        <v>1</v>
      </c>
      <c r="Q764" s="9">
        <v>0</v>
      </c>
      <c r="R764" s="9">
        <v>1</v>
      </c>
      <c r="S764" s="1">
        <f t="shared" si="6"/>
        <v>8</v>
      </c>
    </row>
    <row r="765" spans="2:19" ht="13.2" x14ac:dyDescent="0.25">
      <c r="B765" s="109"/>
      <c r="C765" s="9">
        <v>2020</v>
      </c>
      <c r="D765" s="9">
        <v>0</v>
      </c>
      <c r="E765" s="9">
        <v>0</v>
      </c>
      <c r="F765" s="9">
        <v>0</v>
      </c>
      <c r="G765" s="9">
        <v>1</v>
      </c>
      <c r="H765" s="9">
        <v>1</v>
      </c>
      <c r="I765" s="9">
        <v>0</v>
      </c>
      <c r="J765" s="9">
        <v>0</v>
      </c>
      <c r="K765" s="9">
        <v>1</v>
      </c>
      <c r="L765" s="9">
        <v>0</v>
      </c>
      <c r="M765" s="9">
        <v>0</v>
      </c>
      <c r="N765" s="9">
        <v>0</v>
      </c>
      <c r="O765" s="9">
        <v>1</v>
      </c>
      <c r="P765" s="9">
        <v>0</v>
      </c>
      <c r="Q765" s="9">
        <v>0</v>
      </c>
      <c r="R765" s="9">
        <v>0</v>
      </c>
      <c r="S765" s="1">
        <f t="shared" si="6"/>
        <v>4</v>
      </c>
    </row>
    <row r="766" spans="2:19" ht="13.2" x14ac:dyDescent="0.25">
      <c r="B766" s="109"/>
      <c r="C766" s="9">
        <v>2021</v>
      </c>
      <c r="D766" s="9">
        <v>0</v>
      </c>
      <c r="E766" s="9">
        <v>1</v>
      </c>
      <c r="F766" s="9">
        <v>0</v>
      </c>
      <c r="G766" s="9">
        <v>0</v>
      </c>
      <c r="H766" s="9">
        <v>0</v>
      </c>
      <c r="I766" s="9">
        <v>0</v>
      </c>
      <c r="J766" s="9">
        <v>0</v>
      </c>
      <c r="K766" s="9">
        <v>1</v>
      </c>
      <c r="L766" s="9">
        <v>1</v>
      </c>
      <c r="M766" s="9">
        <v>0</v>
      </c>
      <c r="N766" s="9">
        <v>0</v>
      </c>
      <c r="O766" s="9">
        <v>0</v>
      </c>
      <c r="P766" s="9">
        <v>1</v>
      </c>
      <c r="Q766" s="9">
        <v>1</v>
      </c>
      <c r="R766" s="9">
        <v>1</v>
      </c>
      <c r="S766" s="1">
        <f t="shared" si="6"/>
        <v>6</v>
      </c>
    </row>
    <row r="767" spans="2:19" ht="13.2" x14ac:dyDescent="0.25">
      <c r="B767" s="110"/>
      <c r="C767" s="9">
        <v>2022</v>
      </c>
      <c r="D767" s="9">
        <v>0</v>
      </c>
      <c r="E767" s="9">
        <v>0</v>
      </c>
      <c r="F767" s="9">
        <v>1</v>
      </c>
      <c r="G767" s="9">
        <v>1</v>
      </c>
      <c r="H767" s="9">
        <v>0</v>
      </c>
      <c r="I767" s="9">
        <v>1</v>
      </c>
      <c r="J767" s="9">
        <v>0</v>
      </c>
      <c r="K767" s="9">
        <v>1</v>
      </c>
      <c r="L767" s="9">
        <v>0</v>
      </c>
      <c r="M767" s="9">
        <v>0</v>
      </c>
      <c r="N767" s="9">
        <v>1</v>
      </c>
      <c r="O767" s="9">
        <v>1</v>
      </c>
      <c r="P767" s="9">
        <v>0</v>
      </c>
      <c r="Q767" s="9">
        <v>1</v>
      </c>
      <c r="R767" s="9">
        <v>0</v>
      </c>
      <c r="S767" s="1">
        <f t="shared" si="6"/>
        <v>7</v>
      </c>
    </row>
    <row r="768" spans="2:19" ht="13.2" x14ac:dyDescent="0.25">
      <c r="B768" s="108" t="s">
        <v>174</v>
      </c>
      <c r="C768" s="9">
        <v>2018</v>
      </c>
      <c r="D768" s="9">
        <v>0</v>
      </c>
      <c r="E768" s="9">
        <v>1</v>
      </c>
      <c r="F768" s="9">
        <v>0</v>
      </c>
      <c r="G768" s="9">
        <v>0</v>
      </c>
      <c r="H768" s="9">
        <v>1</v>
      </c>
      <c r="I768" s="9">
        <v>0</v>
      </c>
      <c r="J768" s="9">
        <v>0</v>
      </c>
      <c r="K768" s="9">
        <v>1</v>
      </c>
      <c r="L768" s="9">
        <v>0</v>
      </c>
      <c r="M768" s="9">
        <v>0</v>
      </c>
      <c r="N768" s="9">
        <v>0</v>
      </c>
      <c r="O768" s="9">
        <v>0</v>
      </c>
      <c r="P768" s="9">
        <v>1</v>
      </c>
      <c r="Q768" s="9">
        <v>1</v>
      </c>
      <c r="R768" s="9">
        <v>0</v>
      </c>
      <c r="S768" s="1">
        <f t="shared" si="6"/>
        <v>5</v>
      </c>
    </row>
    <row r="769" spans="2:19" ht="13.2" x14ac:dyDescent="0.25">
      <c r="B769" s="109"/>
      <c r="C769" s="9">
        <v>2019</v>
      </c>
      <c r="D769" s="9">
        <v>1</v>
      </c>
      <c r="E769" s="9">
        <v>0</v>
      </c>
      <c r="F769" s="9">
        <v>0</v>
      </c>
      <c r="G769" s="9">
        <v>1</v>
      </c>
      <c r="H769" s="9">
        <v>1</v>
      </c>
      <c r="I769" s="9">
        <v>1</v>
      </c>
      <c r="J769" s="9">
        <v>0</v>
      </c>
      <c r="K769" s="9">
        <v>1</v>
      </c>
      <c r="L769" s="9">
        <v>0</v>
      </c>
      <c r="M769" s="9">
        <v>1</v>
      </c>
      <c r="N769" s="9">
        <v>0</v>
      </c>
      <c r="O769" s="9">
        <v>1</v>
      </c>
      <c r="P769" s="9">
        <v>0</v>
      </c>
      <c r="Q769" s="9">
        <v>1</v>
      </c>
      <c r="R769" s="9">
        <v>1</v>
      </c>
      <c r="S769" s="1">
        <f t="shared" si="6"/>
        <v>9</v>
      </c>
    </row>
    <row r="770" spans="2:19" ht="13.2" x14ac:dyDescent="0.25">
      <c r="B770" s="109"/>
      <c r="C770" s="9">
        <v>2020</v>
      </c>
      <c r="D770" s="9">
        <v>1</v>
      </c>
      <c r="E770" s="9">
        <v>0</v>
      </c>
      <c r="F770" s="9">
        <v>0</v>
      </c>
      <c r="G770" s="9">
        <v>1</v>
      </c>
      <c r="H770" s="9">
        <v>1</v>
      </c>
      <c r="I770" s="9">
        <v>1</v>
      </c>
      <c r="J770" s="9">
        <v>1</v>
      </c>
      <c r="K770" s="9">
        <v>0</v>
      </c>
      <c r="L770" s="9">
        <v>0</v>
      </c>
      <c r="M770" s="9">
        <v>1</v>
      </c>
      <c r="N770" s="9">
        <v>0</v>
      </c>
      <c r="O770" s="9">
        <v>0</v>
      </c>
      <c r="P770" s="9">
        <v>0</v>
      </c>
      <c r="Q770" s="9">
        <v>0</v>
      </c>
      <c r="R770" s="9">
        <v>0</v>
      </c>
      <c r="S770" s="1">
        <f t="shared" si="6"/>
        <v>6</v>
      </c>
    </row>
    <row r="771" spans="2:19" ht="13.2" x14ac:dyDescent="0.25">
      <c r="B771" s="109"/>
      <c r="C771" s="9">
        <v>2021</v>
      </c>
      <c r="D771" s="9">
        <v>1</v>
      </c>
      <c r="E771" s="9">
        <v>0</v>
      </c>
      <c r="F771" s="9">
        <v>1</v>
      </c>
      <c r="G771" s="9">
        <v>1</v>
      </c>
      <c r="H771" s="9">
        <v>1</v>
      </c>
      <c r="I771" s="9">
        <v>1</v>
      </c>
      <c r="J771" s="9">
        <v>0</v>
      </c>
      <c r="K771" s="9">
        <v>0</v>
      </c>
      <c r="L771" s="9">
        <v>0</v>
      </c>
      <c r="M771" s="9">
        <v>0</v>
      </c>
      <c r="N771" s="9">
        <v>1</v>
      </c>
      <c r="O771" s="9">
        <v>1</v>
      </c>
      <c r="P771" s="9">
        <v>0</v>
      </c>
      <c r="Q771" s="9">
        <v>1</v>
      </c>
      <c r="R771" s="9">
        <v>0</v>
      </c>
      <c r="S771" s="1">
        <f t="shared" si="6"/>
        <v>8</v>
      </c>
    </row>
    <row r="772" spans="2:19" ht="13.2" x14ac:dyDescent="0.25">
      <c r="B772" s="110"/>
      <c r="C772" s="9">
        <v>2022</v>
      </c>
      <c r="D772" s="9">
        <v>1</v>
      </c>
      <c r="E772" s="9">
        <v>1</v>
      </c>
      <c r="F772" s="9">
        <v>1</v>
      </c>
      <c r="G772" s="9">
        <v>1</v>
      </c>
      <c r="H772" s="9">
        <v>0</v>
      </c>
      <c r="I772" s="9">
        <v>0</v>
      </c>
      <c r="J772" s="9">
        <v>1</v>
      </c>
      <c r="K772" s="9">
        <v>0</v>
      </c>
      <c r="L772" s="9">
        <v>1</v>
      </c>
      <c r="M772" s="9">
        <v>1</v>
      </c>
      <c r="N772" s="9">
        <v>0</v>
      </c>
      <c r="O772" s="9">
        <v>1</v>
      </c>
      <c r="P772" s="9">
        <v>0</v>
      </c>
      <c r="Q772" s="9">
        <v>0</v>
      </c>
      <c r="R772" s="9">
        <v>0</v>
      </c>
      <c r="S772" s="1">
        <f t="shared" si="6"/>
        <v>8</v>
      </c>
    </row>
    <row r="773" spans="2:19" ht="13.2" x14ac:dyDescent="0.25">
      <c r="B773" s="108" t="s">
        <v>175</v>
      </c>
      <c r="C773" s="9">
        <v>2018</v>
      </c>
      <c r="D773" s="9">
        <v>1</v>
      </c>
      <c r="E773" s="9">
        <v>0</v>
      </c>
      <c r="F773" s="9">
        <v>1</v>
      </c>
      <c r="G773" s="9">
        <v>0</v>
      </c>
      <c r="H773" s="9">
        <v>0</v>
      </c>
      <c r="I773" s="9">
        <v>0</v>
      </c>
      <c r="J773" s="9">
        <v>0</v>
      </c>
      <c r="K773" s="9">
        <v>0</v>
      </c>
      <c r="L773" s="9">
        <v>0</v>
      </c>
      <c r="M773" s="9">
        <v>1</v>
      </c>
      <c r="N773" s="9">
        <v>1</v>
      </c>
      <c r="O773" s="9">
        <v>0</v>
      </c>
      <c r="P773" s="9">
        <v>0</v>
      </c>
      <c r="Q773" s="9">
        <v>0</v>
      </c>
      <c r="R773" s="9">
        <v>0</v>
      </c>
      <c r="S773" s="1">
        <f t="shared" si="6"/>
        <v>4</v>
      </c>
    </row>
    <row r="774" spans="2:19" ht="13.2" x14ac:dyDescent="0.25">
      <c r="B774" s="109"/>
      <c r="C774" s="9">
        <v>2019</v>
      </c>
      <c r="D774" s="9">
        <v>0</v>
      </c>
      <c r="E774" s="9">
        <v>1</v>
      </c>
      <c r="F774" s="9">
        <v>1</v>
      </c>
      <c r="G774" s="9">
        <v>0</v>
      </c>
      <c r="H774" s="9">
        <v>0</v>
      </c>
      <c r="I774" s="9">
        <v>0</v>
      </c>
      <c r="J774" s="9">
        <v>0</v>
      </c>
      <c r="K774" s="9">
        <v>0</v>
      </c>
      <c r="L774" s="9">
        <v>0</v>
      </c>
      <c r="M774" s="9">
        <v>1</v>
      </c>
      <c r="N774" s="9">
        <v>0</v>
      </c>
      <c r="O774" s="9">
        <v>0</v>
      </c>
      <c r="P774" s="9">
        <v>0</v>
      </c>
      <c r="Q774" s="9">
        <v>0</v>
      </c>
      <c r="R774" s="9">
        <v>0</v>
      </c>
      <c r="S774" s="1">
        <f t="shared" si="6"/>
        <v>3</v>
      </c>
    </row>
    <row r="775" spans="2:19" ht="13.2" x14ac:dyDescent="0.25">
      <c r="B775" s="109"/>
      <c r="C775" s="9">
        <v>2020</v>
      </c>
      <c r="D775" s="9">
        <v>0</v>
      </c>
      <c r="E775" s="9">
        <v>0</v>
      </c>
      <c r="F775" s="9">
        <v>0</v>
      </c>
      <c r="G775" s="9">
        <v>0</v>
      </c>
      <c r="H775" s="9">
        <v>0</v>
      </c>
      <c r="I775" s="9">
        <v>0</v>
      </c>
      <c r="J775" s="9">
        <v>0</v>
      </c>
      <c r="K775" s="9">
        <v>0</v>
      </c>
      <c r="L775" s="9">
        <v>1</v>
      </c>
      <c r="M775" s="9">
        <v>0</v>
      </c>
      <c r="N775" s="9">
        <v>0</v>
      </c>
      <c r="O775" s="9">
        <v>0</v>
      </c>
      <c r="P775" s="9">
        <v>0</v>
      </c>
      <c r="Q775" s="9">
        <v>1</v>
      </c>
      <c r="R775" s="9">
        <v>1</v>
      </c>
      <c r="S775" s="1">
        <f t="shared" si="6"/>
        <v>3</v>
      </c>
    </row>
    <row r="776" spans="2:19" ht="13.2" x14ac:dyDescent="0.25">
      <c r="B776" s="109"/>
      <c r="C776" s="9">
        <v>2021</v>
      </c>
      <c r="D776" s="9">
        <v>0</v>
      </c>
      <c r="E776" s="9">
        <v>1</v>
      </c>
      <c r="F776" s="9">
        <v>1</v>
      </c>
      <c r="G776" s="9">
        <v>1</v>
      </c>
      <c r="H776" s="9">
        <v>0</v>
      </c>
      <c r="I776" s="9">
        <v>1</v>
      </c>
      <c r="J776" s="9">
        <v>1</v>
      </c>
      <c r="K776" s="9">
        <v>1</v>
      </c>
      <c r="L776" s="9">
        <v>1</v>
      </c>
      <c r="M776" s="9">
        <v>1</v>
      </c>
      <c r="N776" s="9">
        <v>1</v>
      </c>
      <c r="O776" s="9">
        <v>0</v>
      </c>
      <c r="P776" s="9">
        <v>1</v>
      </c>
      <c r="Q776" s="9">
        <v>1</v>
      </c>
      <c r="R776" s="9">
        <v>0</v>
      </c>
      <c r="S776" s="1">
        <f t="shared" si="6"/>
        <v>11</v>
      </c>
    </row>
    <row r="777" spans="2:19" ht="13.2" x14ac:dyDescent="0.25">
      <c r="B777" s="110"/>
      <c r="C777" s="9">
        <v>2022</v>
      </c>
      <c r="D777" s="9">
        <v>1</v>
      </c>
      <c r="E777" s="9">
        <v>1</v>
      </c>
      <c r="F777" s="9">
        <v>1</v>
      </c>
      <c r="G777" s="9">
        <v>1</v>
      </c>
      <c r="H777" s="9">
        <v>1</v>
      </c>
      <c r="I777" s="9">
        <v>1</v>
      </c>
      <c r="J777" s="9">
        <v>1</v>
      </c>
      <c r="K777" s="9">
        <v>0</v>
      </c>
      <c r="L777" s="9">
        <v>1</v>
      </c>
      <c r="M777" s="9">
        <v>1</v>
      </c>
      <c r="N777" s="9">
        <v>1</v>
      </c>
      <c r="O777" s="9">
        <v>1</v>
      </c>
      <c r="P777" s="9">
        <v>1</v>
      </c>
      <c r="Q777" s="9">
        <v>1</v>
      </c>
      <c r="R777" s="9">
        <v>0</v>
      </c>
      <c r="S777" s="1">
        <f t="shared" si="6"/>
        <v>13</v>
      </c>
    </row>
    <row r="778" spans="2:19" ht="13.2" x14ac:dyDescent="0.25">
      <c r="B778" s="108" t="s">
        <v>176</v>
      </c>
      <c r="C778" s="9">
        <v>2018</v>
      </c>
      <c r="D778" s="9">
        <v>0</v>
      </c>
      <c r="E778" s="9">
        <v>1</v>
      </c>
      <c r="F778" s="9">
        <v>1</v>
      </c>
      <c r="G778" s="9">
        <v>1</v>
      </c>
      <c r="H778" s="9">
        <v>1</v>
      </c>
      <c r="I778" s="9">
        <v>0</v>
      </c>
      <c r="J778" s="9">
        <v>1</v>
      </c>
      <c r="K778" s="9">
        <v>0</v>
      </c>
      <c r="L778" s="9">
        <v>1</v>
      </c>
      <c r="M778" s="9">
        <v>1</v>
      </c>
      <c r="N778" s="9">
        <v>1</v>
      </c>
      <c r="O778" s="9">
        <v>0</v>
      </c>
      <c r="P778" s="9">
        <v>1</v>
      </c>
      <c r="Q778" s="9">
        <v>0</v>
      </c>
      <c r="R778" s="9">
        <v>1</v>
      </c>
      <c r="S778" s="1">
        <f t="shared" si="6"/>
        <v>10</v>
      </c>
    </row>
    <row r="779" spans="2:19" ht="13.2" x14ac:dyDescent="0.25">
      <c r="B779" s="109"/>
      <c r="C779" s="9">
        <v>2019</v>
      </c>
      <c r="D779" s="9">
        <v>1</v>
      </c>
      <c r="E779" s="9">
        <v>0</v>
      </c>
      <c r="F779" s="9">
        <v>1</v>
      </c>
      <c r="G779" s="9">
        <v>0</v>
      </c>
      <c r="H779" s="9">
        <v>1</v>
      </c>
      <c r="I779" s="9">
        <v>1</v>
      </c>
      <c r="J779" s="9">
        <v>1</v>
      </c>
      <c r="K779" s="9">
        <v>0</v>
      </c>
      <c r="L779" s="9">
        <v>1</v>
      </c>
      <c r="M779" s="9">
        <v>1</v>
      </c>
      <c r="N779" s="9">
        <v>1</v>
      </c>
      <c r="O779" s="9">
        <v>1</v>
      </c>
      <c r="P779" s="9">
        <v>1</v>
      </c>
      <c r="Q779" s="9">
        <v>1</v>
      </c>
      <c r="R779" s="9">
        <v>0</v>
      </c>
      <c r="S779" s="1">
        <f t="shared" si="6"/>
        <v>11</v>
      </c>
    </row>
    <row r="780" spans="2:19" ht="13.2" x14ac:dyDescent="0.25">
      <c r="B780" s="109"/>
      <c r="C780" s="9">
        <v>2020</v>
      </c>
      <c r="D780" s="9">
        <v>0</v>
      </c>
      <c r="E780" s="9">
        <v>0</v>
      </c>
      <c r="F780" s="9">
        <v>1</v>
      </c>
      <c r="G780" s="9">
        <v>0</v>
      </c>
      <c r="H780" s="9">
        <v>0</v>
      </c>
      <c r="I780" s="9">
        <v>1</v>
      </c>
      <c r="J780" s="9">
        <v>1</v>
      </c>
      <c r="K780" s="9">
        <v>0</v>
      </c>
      <c r="L780" s="9">
        <v>1</v>
      </c>
      <c r="M780" s="9">
        <v>0</v>
      </c>
      <c r="N780" s="9">
        <v>1</v>
      </c>
      <c r="O780" s="9">
        <v>1</v>
      </c>
      <c r="P780" s="9">
        <v>0</v>
      </c>
      <c r="Q780" s="9">
        <v>0</v>
      </c>
      <c r="R780" s="9">
        <v>1</v>
      </c>
      <c r="S780" s="1">
        <f t="shared" si="6"/>
        <v>7</v>
      </c>
    </row>
    <row r="781" spans="2:19" ht="13.2" x14ac:dyDescent="0.25">
      <c r="B781" s="109"/>
      <c r="C781" s="9">
        <v>2021</v>
      </c>
      <c r="D781" s="9">
        <v>0</v>
      </c>
      <c r="E781" s="9">
        <v>0</v>
      </c>
      <c r="F781" s="9">
        <v>0</v>
      </c>
      <c r="G781" s="9">
        <v>0</v>
      </c>
      <c r="H781" s="9">
        <v>1</v>
      </c>
      <c r="I781" s="9">
        <v>1</v>
      </c>
      <c r="J781" s="9">
        <v>0</v>
      </c>
      <c r="K781" s="9">
        <v>1</v>
      </c>
      <c r="L781" s="9">
        <v>0</v>
      </c>
      <c r="M781" s="9">
        <v>0</v>
      </c>
      <c r="N781" s="9">
        <v>1</v>
      </c>
      <c r="O781" s="9">
        <v>0</v>
      </c>
      <c r="P781" s="9">
        <v>1</v>
      </c>
      <c r="Q781" s="9">
        <v>0</v>
      </c>
      <c r="R781" s="9">
        <v>0</v>
      </c>
      <c r="S781" s="1">
        <f t="shared" si="6"/>
        <v>5</v>
      </c>
    </row>
    <row r="782" spans="2:19" ht="13.2" x14ac:dyDescent="0.25">
      <c r="B782" s="110"/>
      <c r="C782" s="9">
        <v>2022</v>
      </c>
      <c r="D782" s="9">
        <v>1</v>
      </c>
      <c r="E782" s="9">
        <v>1</v>
      </c>
      <c r="F782" s="9">
        <v>1</v>
      </c>
      <c r="G782" s="9">
        <v>0</v>
      </c>
      <c r="H782" s="9">
        <v>1</v>
      </c>
      <c r="I782" s="9">
        <v>0</v>
      </c>
      <c r="J782" s="9">
        <v>1</v>
      </c>
      <c r="K782" s="9">
        <v>0</v>
      </c>
      <c r="L782" s="9">
        <v>0</v>
      </c>
      <c r="M782" s="9">
        <v>0</v>
      </c>
      <c r="N782" s="9">
        <v>1</v>
      </c>
      <c r="O782" s="9">
        <v>1</v>
      </c>
      <c r="P782" s="9">
        <v>0</v>
      </c>
      <c r="Q782" s="9">
        <v>0</v>
      </c>
      <c r="R782" s="9">
        <v>0</v>
      </c>
      <c r="S782" s="1">
        <f t="shared" si="6"/>
        <v>7</v>
      </c>
    </row>
    <row r="783" spans="2:19" ht="13.2" x14ac:dyDescent="0.25">
      <c r="B783" s="108" t="s">
        <v>177</v>
      </c>
      <c r="C783" s="9">
        <v>2018</v>
      </c>
      <c r="D783" s="9">
        <v>1</v>
      </c>
      <c r="E783" s="9">
        <v>1</v>
      </c>
      <c r="F783" s="9">
        <v>0</v>
      </c>
      <c r="G783" s="9">
        <v>1</v>
      </c>
      <c r="H783" s="9">
        <v>0</v>
      </c>
      <c r="I783" s="9">
        <v>0</v>
      </c>
      <c r="J783" s="9">
        <v>0</v>
      </c>
      <c r="K783" s="9">
        <v>1</v>
      </c>
      <c r="L783" s="9">
        <v>0</v>
      </c>
      <c r="M783" s="9">
        <v>0</v>
      </c>
      <c r="N783" s="9">
        <v>0</v>
      </c>
      <c r="O783" s="9">
        <v>0</v>
      </c>
      <c r="P783" s="9">
        <v>1</v>
      </c>
      <c r="Q783" s="9">
        <v>0</v>
      </c>
      <c r="R783" s="9">
        <v>1</v>
      </c>
      <c r="S783" s="1">
        <f t="shared" si="6"/>
        <v>6</v>
      </c>
    </row>
    <row r="784" spans="2:19" ht="13.2" x14ac:dyDescent="0.25">
      <c r="B784" s="109"/>
      <c r="C784" s="9">
        <v>2019</v>
      </c>
      <c r="D784" s="9">
        <v>0</v>
      </c>
      <c r="E784" s="9">
        <v>0</v>
      </c>
      <c r="F784" s="9">
        <v>1</v>
      </c>
      <c r="G784" s="9">
        <v>0</v>
      </c>
      <c r="H784" s="9">
        <v>0</v>
      </c>
      <c r="I784" s="9">
        <v>1</v>
      </c>
      <c r="J784" s="9">
        <v>0</v>
      </c>
      <c r="K784" s="9">
        <v>1</v>
      </c>
      <c r="L784" s="9">
        <v>0</v>
      </c>
      <c r="M784" s="9">
        <v>0</v>
      </c>
      <c r="N784" s="9">
        <v>1</v>
      </c>
      <c r="O784" s="9">
        <v>0</v>
      </c>
      <c r="P784" s="9">
        <v>0</v>
      </c>
      <c r="Q784" s="9">
        <v>0</v>
      </c>
      <c r="R784" s="9">
        <v>0</v>
      </c>
      <c r="S784" s="1">
        <f t="shared" si="6"/>
        <v>4</v>
      </c>
    </row>
    <row r="785" spans="2:19" ht="13.2" x14ac:dyDescent="0.25">
      <c r="B785" s="109"/>
      <c r="C785" s="9">
        <v>2020</v>
      </c>
      <c r="D785" s="9">
        <v>0</v>
      </c>
      <c r="E785" s="9">
        <v>0</v>
      </c>
      <c r="F785" s="9">
        <v>0</v>
      </c>
      <c r="G785" s="9">
        <v>1</v>
      </c>
      <c r="H785" s="9">
        <v>0</v>
      </c>
      <c r="I785" s="9">
        <v>0</v>
      </c>
      <c r="J785" s="9">
        <v>1</v>
      </c>
      <c r="K785" s="9">
        <v>1</v>
      </c>
      <c r="L785" s="9">
        <v>0</v>
      </c>
      <c r="M785" s="9">
        <v>1</v>
      </c>
      <c r="N785" s="9">
        <v>1</v>
      </c>
      <c r="O785" s="9">
        <v>0</v>
      </c>
      <c r="P785" s="9">
        <v>0</v>
      </c>
      <c r="Q785" s="9">
        <v>1</v>
      </c>
      <c r="R785" s="9">
        <v>1</v>
      </c>
      <c r="S785" s="1">
        <f t="shared" si="6"/>
        <v>7</v>
      </c>
    </row>
    <row r="786" spans="2:19" ht="13.2" x14ac:dyDescent="0.25">
      <c r="B786" s="109"/>
      <c r="C786" s="9">
        <v>2021</v>
      </c>
      <c r="D786" s="9">
        <v>0</v>
      </c>
      <c r="E786" s="9">
        <v>0</v>
      </c>
      <c r="F786" s="9">
        <v>0</v>
      </c>
      <c r="G786" s="9">
        <v>0</v>
      </c>
      <c r="H786" s="9">
        <v>0</v>
      </c>
      <c r="I786" s="9">
        <v>0</v>
      </c>
      <c r="J786" s="9">
        <v>0</v>
      </c>
      <c r="K786" s="9">
        <v>0</v>
      </c>
      <c r="L786" s="9">
        <v>1</v>
      </c>
      <c r="M786" s="9">
        <v>0</v>
      </c>
      <c r="N786" s="9">
        <v>1</v>
      </c>
      <c r="O786" s="9">
        <v>0</v>
      </c>
      <c r="P786" s="9">
        <v>0</v>
      </c>
      <c r="Q786" s="9">
        <v>1</v>
      </c>
      <c r="R786" s="9">
        <v>1</v>
      </c>
      <c r="S786" s="1">
        <f t="shared" si="6"/>
        <v>4</v>
      </c>
    </row>
    <row r="787" spans="2:19" ht="13.2" x14ac:dyDescent="0.25">
      <c r="B787" s="110"/>
      <c r="C787" s="9">
        <v>2022</v>
      </c>
      <c r="D787" s="9">
        <v>0</v>
      </c>
      <c r="E787" s="9">
        <v>1</v>
      </c>
      <c r="F787" s="9">
        <v>0</v>
      </c>
      <c r="G787" s="9">
        <v>0</v>
      </c>
      <c r="H787" s="9">
        <v>1</v>
      </c>
      <c r="I787" s="9">
        <v>0</v>
      </c>
      <c r="J787" s="9">
        <v>1</v>
      </c>
      <c r="K787" s="9">
        <v>1</v>
      </c>
      <c r="L787" s="9">
        <v>1</v>
      </c>
      <c r="M787" s="9">
        <v>0</v>
      </c>
      <c r="N787" s="9">
        <v>1</v>
      </c>
      <c r="O787" s="9">
        <v>0</v>
      </c>
      <c r="P787" s="9">
        <v>1</v>
      </c>
      <c r="Q787" s="9">
        <v>0</v>
      </c>
      <c r="R787" s="9">
        <v>0</v>
      </c>
      <c r="S787" s="1">
        <f t="shared" si="6"/>
        <v>7</v>
      </c>
    </row>
    <row r="788" spans="2:19" ht="13.2" x14ac:dyDescent="0.25">
      <c r="B788" s="108" t="s">
        <v>178</v>
      </c>
      <c r="C788" s="9">
        <v>2018</v>
      </c>
      <c r="D788" s="9">
        <v>1</v>
      </c>
      <c r="E788" s="9">
        <v>1</v>
      </c>
      <c r="F788" s="9">
        <v>1</v>
      </c>
      <c r="G788" s="9">
        <v>0</v>
      </c>
      <c r="H788" s="9">
        <v>0</v>
      </c>
      <c r="I788" s="9">
        <v>0</v>
      </c>
      <c r="J788" s="9">
        <v>0</v>
      </c>
      <c r="K788" s="9">
        <v>0</v>
      </c>
      <c r="L788" s="9">
        <v>1</v>
      </c>
      <c r="M788" s="9">
        <v>0</v>
      </c>
      <c r="N788" s="9">
        <v>1</v>
      </c>
      <c r="O788" s="9">
        <v>1</v>
      </c>
      <c r="P788" s="9">
        <v>0</v>
      </c>
      <c r="Q788" s="9">
        <v>0</v>
      </c>
      <c r="R788" s="9">
        <v>1</v>
      </c>
      <c r="S788" s="1">
        <f t="shared" si="6"/>
        <v>7</v>
      </c>
    </row>
    <row r="789" spans="2:19" ht="13.2" x14ac:dyDescent="0.25">
      <c r="B789" s="109"/>
      <c r="C789" s="9">
        <v>2019</v>
      </c>
      <c r="D789" s="9">
        <v>0</v>
      </c>
      <c r="E789" s="9">
        <v>0</v>
      </c>
      <c r="F789" s="9">
        <v>0</v>
      </c>
      <c r="G789" s="9">
        <v>0</v>
      </c>
      <c r="H789" s="9">
        <v>0</v>
      </c>
      <c r="I789" s="9">
        <v>1</v>
      </c>
      <c r="J789" s="9">
        <v>0</v>
      </c>
      <c r="K789" s="9">
        <v>0</v>
      </c>
      <c r="L789" s="9">
        <v>1</v>
      </c>
      <c r="M789" s="9">
        <v>0</v>
      </c>
      <c r="N789" s="9">
        <v>0</v>
      </c>
      <c r="O789" s="9">
        <v>0</v>
      </c>
      <c r="P789" s="9">
        <v>0</v>
      </c>
      <c r="Q789" s="9">
        <v>0</v>
      </c>
      <c r="R789" s="9">
        <v>1</v>
      </c>
      <c r="S789" s="1">
        <f t="shared" si="6"/>
        <v>3</v>
      </c>
    </row>
    <row r="790" spans="2:19" ht="13.2" x14ac:dyDescent="0.25">
      <c r="B790" s="109"/>
      <c r="C790" s="9">
        <v>2020</v>
      </c>
      <c r="D790" s="9">
        <v>0</v>
      </c>
      <c r="E790" s="9">
        <v>1</v>
      </c>
      <c r="F790" s="9">
        <v>0</v>
      </c>
      <c r="G790" s="9">
        <v>0</v>
      </c>
      <c r="H790" s="9">
        <v>1</v>
      </c>
      <c r="I790" s="9">
        <v>1</v>
      </c>
      <c r="J790" s="9">
        <v>1</v>
      </c>
      <c r="K790" s="9">
        <v>1</v>
      </c>
      <c r="L790" s="9">
        <v>1</v>
      </c>
      <c r="M790" s="9">
        <v>0</v>
      </c>
      <c r="N790" s="9">
        <v>0</v>
      </c>
      <c r="O790" s="9">
        <v>1</v>
      </c>
      <c r="P790" s="9">
        <v>0</v>
      </c>
      <c r="Q790" s="9">
        <v>1</v>
      </c>
      <c r="R790" s="9">
        <v>0</v>
      </c>
      <c r="S790" s="1">
        <f t="shared" si="6"/>
        <v>8</v>
      </c>
    </row>
    <row r="791" spans="2:19" ht="13.2" x14ac:dyDescent="0.25">
      <c r="B791" s="109"/>
      <c r="C791" s="9">
        <v>2021</v>
      </c>
      <c r="D791" s="9">
        <v>0</v>
      </c>
      <c r="E791" s="9">
        <v>1</v>
      </c>
      <c r="F791" s="9">
        <v>1</v>
      </c>
      <c r="G791" s="9">
        <v>1</v>
      </c>
      <c r="H791" s="9">
        <v>1</v>
      </c>
      <c r="I791" s="9">
        <v>1</v>
      </c>
      <c r="J791" s="9">
        <v>1</v>
      </c>
      <c r="K791" s="9">
        <v>1</v>
      </c>
      <c r="L791" s="9">
        <v>1</v>
      </c>
      <c r="M791" s="9">
        <v>0</v>
      </c>
      <c r="N791" s="9">
        <v>0</v>
      </c>
      <c r="O791" s="9">
        <v>1</v>
      </c>
      <c r="P791" s="9">
        <v>0</v>
      </c>
      <c r="Q791" s="9">
        <v>1</v>
      </c>
      <c r="R791" s="9">
        <v>1</v>
      </c>
      <c r="S791" s="1">
        <f t="shared" si="6"/>
        <v>11</v>
      </c>
    </row>
    <row r="792" spans="2:19" ht="13.2" x14ac:dyDescent="0.25">
      <c r="B792" s="110"/>
      <c r="C792" s="9">
        <v>2022</v>
      </c>
      <c r="D792" s="9">
        <v>1</v>
      </c>
      <c r="E792" s="9">
        <v>0</v>
      </c>
      <c r="F792" s="9">
        <v>0</v>
      </c>
      <c r="G792" s="9">
        <v>1</v>
      </c>
      <c r="H792" s="9">
        <v>0</v>
      </c>
      <c r="I792" s="9">
        <v>0</v>
      </c>
      <c r="J792" s="9">
        <v>1</v>
      </c>
      <c r="K792" s="9">
        <v>0</v>
      </c>
      <c r="L792" s="9">
        <v>1</v>
      </c>
      <c r="M792" s="9">
        <v>0</v>
      </c>
      <c r="N792" s="9">
        <v>0</v>
      </c>
      <c r="O792" s="9">
        <v>1</v>
      </c>
      <c r="P792" s="9">
        <v>0</v>
      </c>
      <c r="Q792" s="9">
        <v>1</v>
      </c>
      <c r="R792" s="9">
        <v>0</v>
      </c>
      <c r="S792" s="1">
        <f t="shared" si="6"/>
        <v>6</v>
      </c>
    </row>
    <row r="793" spans="2:19" ht="13.2" x14ac:dyDescent="0.25">
      <c r="B793" s="108" t="s">
        <v>179</v>
      </c>
      <c r="C793" s="9">
        <v>2018</v>
      </c>
      <c r="D793" s="9">
        <v>1</v>
      </c>
      <c r="E793" s="9">
        <v>0</v>
      </c>
      <c r="F793" s="9">
        <v>1</v>
      </c>
      <c r="G793" s="9">
        <v>1</v>
      </c>
      <c r="H793" s="9">
        <v>1</v>
      </c>
      <c r="I793" s="9">
        <v>0</v>
      </c>
      <c r="J793" s="9">
        <v>1</v>
      </c>
      <c r="K793" s="9">
        <v>1</v>
      </c>
      <c r="L793" s="9">
        <v>0</v>
      </c>
      <c r="M793" s="9">
        <v>1</v>
      </c>
      <c r="N793" s="9">
        <v>0</v>
      </c>
      <c r="O793" s="9">
        <v>1</v>
      </c>
      <c r="P793" s="9">
        <v>1</v>
      </c>
      <c r="Q793" s="9">
        <v>0</v>
      </c>
      <c r="R793" s="9">
        <v>0</v>
      </c>
      <c r="S793" s="1">
        <f t="shared" si="6"/>
        <v>9</v>
      </c>
    </row>
    <row r="794" spans="2:19" ht="13.2" x14ac:dyDescent="0.25">
      <c r="B794" s="109"/>
      <c r="C794" s="9">
        <v>2019</v>
      </c>
      <c r="D794" s="9">
        <v>0</v>
      </c>
      <c r="E794" s="9">
        <v>0</v>
      </c>
      <c r="F794" s="9">
        <v>1</v>
      </c>
      <c r="G794" s="9">
        <v>0</v>
      </c>
      <c r="H794" s="9">
        <v>0</v>
      </c>
      <c r="I794" s="9">
        <v>0</v>
      </c>
      <c r="J794" s="9">
        <v>0</v>
      </c>
      <c r="K794" s="9">
        <v>0</v>
      </c>
      <c r="L794" s="9">
        <v>1</v>
      </c>
      <c r="M794" s="9">
        <v>1</v>
      </c>
      <c r="N794" s="9">
        <v>1</v>
      </c>
      <c r="O794" s="9">
        <v>0</v>
      </c>
      <c r="P794" s="9">
        <v>0</v>
      </c>
      <c r="Q794" s="9">
        <v>0</v>
      </c>
      <c r="R794" s="9">
        <v>1</v>
      </c>
      <c r="S794" s="1">
        <f t="shared" si="6"/>
        <v>5</v>
      </c>
    </row>
    <row r="795" spans="2:19" ht="13.2" x14ac:dyDescent="0.25">
      <c r="B795" s="109"/>
      <c r="C795" s="9">
        <v>2020</v>
      </c>
      <c r="D795" s="9">
        <v>1</v>
      </c>
      <c r="E795" s="9">
        <v>1</v>
      </c>
      <c r="F795" s="9">
        <v>0</v>
      </c>
      <c r="G795" s="9">
        <v>1</v>
      </c>
      <c r="H795" s="9">
        <v>1</v>
      </c>
      <c r="I795" s="9">
        <v>0</v>
      </c>
      <c r="J795" s="9">
        <v>0</v>
      </c>
      <c r="K795" s="9">
        <v>0</v>
      </c>
      <c r="L795" s="9">
        <v>1</v>
      </c>
      <c r="M795" s="9">
        <v>0</v>
      </c>
      <c r="N795" s="9">
        <v>0</v>
      </c>
      <c r="O795" s="9">
        <v>1</v>
      </c>
      <c r="P795" s="9">
        <v>0</v>
      </c>
      <c r="Q795" s="9">
        <v>1</v>
      </c>
      <c r="R795" s="9">
        <v>1</v>
      </c>
      <c r="S795" s="1">
        <f t="shared" si="6"/>
        <v>8</v>
      </c>
    </row>
    <row r="796" spans="2:19" ht="13.2" x14ac:dyDescent="0.25">
      <c r="B796" s="109"/>
      <c r="C796" s="9">
        <v>2021</v>
      </c>
      <c r="D796" s="9">
        <v>1</v>
      </c>
      <c r="E796" s="9">
        <v>1</v>
      </c>
      <c r="F796" s="9">
        <v>0</v>
      </c>
      <c r="G796" s="9">
        <v>0</v>
      </c>
      <c r="H796" s="9">
        <v>1</v>
      </c>
      <c r="I796" s="9">
        <v>0</v>
      </c>
      <c r="J796" s="9">
        <v>1</v>
      </c>
      <c r="K796" s="9">
        <v>0</v>
      </c>
      <c r="L796" s="9">
        <v>0</v>
      </c>
      <c r="M796" s="9">
        <v>0</v>
      </c>
      <c r="N796" s="9">
        <v>0</v>
      </c>
      <c r="O796" s="9">
        <v>0</v>
      </c>
      <c r="P796" s="9">
        <v>1</v>
      </c>
      <c r="Q796" s="9">
        <v>1</v>
      </c>
      <c r="R796" s="9">
        <v>0</v>
      </c>
      <c r="S796" s="1">
        <f t="shared" si="6"/>
        <v>6</v>
      </c>
    </row>
    <row r="797" spans="2:19" ht="13.2" x14ac:dyDescent="0.25">
      <c r="B797" s="110"/>
      <c r="C797" s="9">
        <v>2022</v>
      </c>
      <c r="D797" s="9">
        <v>1</v>
      </c>
      <c r="E797" s="9">
        <v>0</v>
      </c>
      <c r="F797" s="9">
        <v>0</v>
      </c>
      <c r="G797" s="9">
        <v>0</v>
      </c>
      <c r="H797" s="9">
        <v>0</v>
      </c>
      <c r="I797" s="9">
        <v>1</v>
      </c>
      <c r="J797" s="9">
        <v>0</v>
      </c>
      <c r="K797" s="9">
        <v>0</v>
      </c>
      <c r="L797" s="9">
        <v>0</v>
      </c>
      <c r="M797" s="9">
        <v>1</v>
      </c>
      <c r="N797" s="9">
        <v>1</v>
      </c>
      <c r="O797" s="9">
        <v>0</v>
      </c>
      <c r="P797" s="9">
        <v>1</v>
      </c>
      <c r="Q797" s="9">
        <v>0</v>
      </c>
      <c r="R797" s="9">
        <v>0</v>
      </c>
      <c r="S797" s="1">
        <f t="shared" si="6"/>
        <v>5</v>
      </c>
    </row>
    <row r="798" spans="2:19" ht="13.2" x14ac:dyDescent="0.25">
      <c r="B798" s="108" t="s">
        <v>180</v>
      </c>
      <c r="C798" s="9">
        <v>2018</v>
      </c>
      <c r="D798" s="9">
        <v>1</v>
      </c>
      <c r="E798" s="9">
        <v>0</v>
      </c>
      <c r="F798" s="9">
        <v>1</v>
      </c>
      <c r="G798" s="9">
        <v>1</v>
      </c>
      <c r="H798" s="9">
        <v>1</v>
      </c>
      <c r="I798" s="9">
        <v>1</v>
      </c>
      <c r="J798" s="9">
        <v>1</v>
      </c>
      <c r="K798" s="9">
        <v>1</v>
      </c>
      <c r="L798" s="9">
        <v>1</v>
      </c>
      <c r="M798" s="9">
        <v>0</v>
      </c>
      <c r="N798" s="9">
        <v>0</v>
      </c>
      <c r="O798" s="9">
        <v>1</v>
      </c>
      <c r="P798" s="9">
        <v>1</v>
      </c>
      <c r="Q798" s="9">
        <v>0</v>
      </c>
      <c r="R798" s="9">
        <v>0</v>
      </c>
      <c r="S798" s="1">
        <f t="shared" si="6"/>
        <v>10</v>
      </c>
    </row>
    <row r="799" spans="2:19" ht="13.2" x14ac:dyDescent="0.25">
      <c r="B799" s="109"/>
      <c r="C799" s="9">
        <v>2019</v>
      </c>
      <c r="D799" s="9">
        <v>1</v>
      </c>
      <c r="E799" s="9">
        <v>1</v>
      </c>
      <c r="F799" s="9">
        <v>0</v>
      </c>
      <c r="G799" s="9">
        <v>0</v>
      </c>
      <c r="H799" s="9">
        <v>0</v>
      </c>
      <c r="I799" s="9">
        <v>1</v>
      </c>
      <c r="J799" s="9">
        <v>1</v>
      </c>
      <c r="K799" s="9">
        <v>0</v>
      </c>
      <c r="L799" s="9">
        <v>0</v>
      </c>
      <c r="M799" s="9">
        <v>0</v>
      </c>
      <c r="N799" s="9">
        <v>1</v>
      </c>
      <c r="O799" s="9">
        <v>1</v>
      </c>
      <c r="P799" s="9">
        <v>1</v>
      </c>
      <c r="Q799" s="9">
        <v>0</v>
      </c>
      <c r="R799" s="9">
        <v>0</v>
      </c>
      <c r="S799" s="1">
        <f t="shared" si="6"/>
        <v>7</v>
      </c>
    </row>
    <row r="800" spans="2:19" ht="13.2" x14ac:dyDescent="0.25">
      <c r="B800" s="109"/>
      <c r="C800" s="9">
        <v>2020</v>
      </c>
      <c r="D800" s="9">
        <v>0</v>
      </c>
      <c r="E800" s="9">
        <v>1</v>
      </c>
      <c r="F800" s="9">
        <v>0</v>
      </c>
      <c r="G800" s="9">
        <v>1</v>
      </c>
      <c r="H800" s="9">
        <v>1</v>
      </c>
      <c r="I800" s="9">
        <v>1</v>
      </c>
      <c r="J800" s="9">
        <v>1</v>
      </c>
      <c r="K800" s="9">
        <v>1</v>
      </c>
      <c r="L800" s="9">
        <v>1</v>
      </c>
      <c r="M800" s="9">
        <v>0</v>
      </c>
      <c r="N800" s="9">
        <v>0</v>
      </c>
      <c r="O800" s="9">
        <v>0</v>
      </c>
      <c r="P800" s="9">
        <v>0</v>
      </c>
      <c r="Q800" s="9">
        <v>0</v>
      </c>
      <c r="R800" s="9">
        <v>1</v>
      </c>
      <c r="S800" s="1">
        <f t="shared" si="6"/>
        <v>8</v>
      </c>
    </row>
    <row r="801" spans="2:19" ht="13.2" x14ac:dyDescent="0.25">
      <c r="B801" s="109"/>
      <c r="C801" s="9">
        <v>2021</v>
      </c>
      <c r="D801" s="9">
        <v>1</v>
      </c>
      <c r="E801" s="9">
        <v>1</v>
      </c>
      <c r="F801" s="9">
        <v>0</v>
      </c>
      <c r="G801" s="9">
        <v>1</v>
      </c>
      <c r="H801" s="9">
        <v>1</v>
      </c>
      <c r="I801" s="9">
        <v>1</v>
      </c>
      <c r="J801" s="9">
        <v>0</v>
      </c>
      <c r="K801" s="9">
        <v>0</v>
      </c>
      <c r="L801" s="9">
        <v>1</v>
      </c>
      <c r="M801" s="9">
        <v>1</v>
      </c>
      <c r="N801" s="9">
        <v>1</v>
      </c>
      <c r="O801" s="9">
        <v>1</v>
      </c>
      <c r="P801" s="9">
        <v>0</v>
      </c>
      <c r="Q801" s="9">
        <v>0</v>
      </c>
      <c r="R801" s="9">
        <v>0</v>
      </c>
      <c r="S801" s="1">
        <f t="shared" si="6"/>
        <v>9</v>
      </c>
    </row>
    <row r="802" spans="2:19" ht="13.2" x14ac:dyDescent="0.25">
      <c r="B802" s="110"/>
      <c r="C802" s="9">
        <v>2022</v>
      </c>
      <c r="D802" s="9">
        <v>1</v>
      </c>
      <c r="E802" s="9">
        <v>1</v>
      </c>
      <c r="F802" s="9">
        <v>1</v>
      </c>
      <c r="G802" s="9">
        <v>1</v>
      </c>
      <c r="H802" s="9">
        <v>1</v>
      </c>
      <c r="I802" s="9">
        <v>0</v>
      </c>
      <c r="J802" s="9">
        <v>0</v>
      </c>
      <c r="K802" s="9">
        <v>0</v>
      </c>
      <c r="L802" s="9">
        <v>1</v>
      </c>
      <c r="M802" s="9">
        <v>1</v>
      </c>
      <c r="N802" s="9">
        <v>0</v>
      </c>
      <c r="O802" s="9">
        <v>0</v>
      </c>
      <c r="P802" s="9">
        <v>0</v>
      </c>
      <c r="Q802" s="9">
        <v>1</v>
      </c>
      <c r="R802" s="9">
        <v>0</v>
      </c>
      <c r="S802" s="1">
        <f t="shared" si="6"/>
        <v>8</v>
      </c>
    </row>
    <row r="803" spans="2:19" ht="13.2" x14ac:dyDescent="0.25">
      <c r="B803" s="108" t="s">
        <v>181</v>
      </c>
      <c r="C803" s="9">
        <v>2018</v>
      </c>
      <c r="D803" s="9">
        <v>0</v>
      </c>
      <c r="E803" s="9">
        <v>0</v>
      </c>
      <c r="F803" s="9">
        <v>0</v>
      </c>
      <c r="G803" s="9">
        <v>1</v>
      </c>
      <c r="H803" s="9">
        <v>1</v>
      </c>
      <c r="I803" s="9">
        <v>0</v>
      </c>
      <c r="J803" s="9">
        <v>0</v>
      </c>
      <c r="K803" s="9">
        <v>1</v>
      </c>
      <c r="L803" s="9">
        <v>1</v>
      </c>
      <c r="M803" s="9">
        <v>0</v>
      </c>
      <c r="N803" s="9">
        <v>0</v>
      </c>
      <c r="O803" s="9">
        <v>1</v>
      </c>
      <c r="P803" s="9">
        <v>1</v>
      </c>
      <c r="Q803" s="9">
        <v>1</v>
      </c>
      <c r="R803" s="9">
        <v>1</v>
      </c>
      <c r="S803" s="1">
        <f t="shared" si="6"/>
        <v>8</v>
      </c>
    </row>
    <row r="804" spans="2:19" ht="13.2" x14ac:dyDescent="0.25">
      <c r="B804" s="109"/>
      <c r="C804" s="9">
        <v>2019</v>
      </c>
      <c r="D804" s="9">
        <v>0</v>
      </c>
      <c r="E804" s="9">
        <v>0</v>
      </c>
      <c r="F804" s="9">
        <v>0</v>
      </c>
      <c r="G804" s="9">
        <v>1</v>
      </c>
      <c r="H804" s="9">
        <v>1</v>
      </c>
      <c r="I804" s="9">
        <v>0</v>
      </c>
      <c r="J804" s="9">
        <v>0</v>
      </c>
      <c r="K804" s="9">
        <v>0</v>
      </c>
      <c r="L804" s="9">
        <v>1</v>
      </c>
      <c r="M804" s="9">
        <v>1</v>
      </c>
      <c r="N804" s="9">
        <v>1</v>
      </c>
      <c r="O804" s="9">
        <v>0</v>
      </c>
      <c r="P804" s="9">
        <v>1</v>
      </c>
      <c r="Q804" s="9">
        <v>1</v>
      </c>
      <c r="R804" s="9">
        <v>1</v>
      </c>
      <c r="S804" s="1">
        <f t="shared" si="6"/>
        <v>8</v>
      </c>
    </row>
    <row r="805" spans="2:19" ht="13.2" x14ac:dyDescent="0.25">
      <c r="B805" s="109"/>
      <c r="C805" s="9">
        <v>2020</v>
      </c>
      <c r="D805" s="9">
        <v>1</v>
      </c>
      <c r="E805" s="9">
        <v>1</v>
      </c>
      <c r="F805" s="9">
        <v>1</v>
      </c>
      <c r="G805" s="9">
        <v>0</v>
      </c>
      <c r="H805" s="9">
        <v>0</v>
      </c>
      <c r="I805" s="9">
        <v>0</v>
      </c>
      <c r="J805" s="9">
        <v>0</v>
      </c>
      <c r="K805" s="9">
        <v>1</v>
      </c>
      <c r="L805" s="9">
        <v>0</v>
      </c>
      <c r="M805" s="9">
        <v>1</v>
      </c>
      <c r="N805" s="9">
        <v>1</v>
      </c>
      <c r="O805" s="9">
        <v>0</v>
      </c>
      <c r="P805" s="9">
        <v>0</v>
      </c>
      <c r="Q805" s="9">
        <v>1</v>
      </c>
      <c r="R805" s="9">
        <v>0</v>
      </c>
      <c r="S805" s="1">
        <f t="shared" si="6"/>
        <v>7</v>
      </c>
    </row>
    <row r="806" spans="2:19" ht="13.2" x14ac:dyDescent="0.25">
      <c r="B806" s="109"/>
      <c r="C806" s="9">
        <v>2021</v>
      </c>
      <c r="D806" s="9">
        <v>1</v>
      </c>
      <c r="E806" s="9">
        <v>1</v>
      </c>
      <c r="F806" s="9">
        <v>0</v>
      </c>
      <c r="G806" s="9">
        <v>0</v>
      </c>
      <c r="H806" s="9">
        <v>1</v>
      </c>
      <c r="I806" s="9">
        <v>0</v>
      </c>
      <c r="J806" s="9">
        <v>1</v>
      </c>
      <c r="K806" s="9">
        <v>1</v>
      </c>
      <c r="L806" s="9">
        <v>1</v>
      </c>
      <c r="M806" s="9">
        <v>0</v>
      </c>
      <c r="N806" s="9">
        <v>0</v>
      </c>
      <c r="O806" s="9">
        <v>1</v>
      </c>
      <c r="P806" s="9">
        <v>1</v>
      </c>
      <c r="Q806" s="9">
        <v>0</v>
      </c>
      <c r="R806" s="9">
        <v>1</v>
      </c>
      <c r="S806" s="1">
        <f t="shared" si="6"/>
        <v>9</v>
      </c>
    </row>
    <row r="807" spans="2:19" ht="13.2" x14ac:dyDescent="0.25">
      <c r="B807" s="110"/>
      <c r="C807" s="9">
        <v>2022</v>
      </c>
      <c r="D807" s="9">
        <v>1</v>
      </c>
      <c r="E807" s="9">
        <v>1</v>
      </c>
      <c r="F807" s="9">
        <v>0</v>
      </c>
      <c r="G807" s="9">
        <v>1</v>
      </c>
      <c r="H807" s="9">
        <v>0</v>
      </c>
      <c r="I807" s="9">
        <v>0</v>
      </c>
      <c r="J807" s="9">
        <v>1</v>
      </c>
      <c r="K807" s="9">
        <v>1</v>
      </c>
      <c r="L807" s="9">
        <v>0</v>
      </c>
      <c r="M807" s="9">
        <v>1</v>
      </c>
      <c r="N807" s="9">
        <v>1</v>
      </c>
      <c r="O807" s="9">
        <v>0</v>
      </c>
      <c r="P807" s="9">
        <v>0</v>
      </c>
      <c r="Q807" s="9">
        <v>1</v>
      </c>
      <c r="R807" s="9">
        <v>1</v>
      </c>
      <c r="S807" s="1">
        <f t="shared" si="6"/>
        <v>9</v>
      </c>
    </row>
    <row r="808" spans="2:19" ht="13.2" x14ac:dyDescent="0.25">
      <c r="B808" s="108" t="s">
        <v>182</v>
      </c>
      <c r="C808" s="9">
        <v>2018</v>
      </c>
      <c r="D808" s="9">
        <v>1</v>
      </c>
      <c r="E808" s="9">
        <v>0</v>
      </c>
      <c r="F808" s="9">
        <v>1</v>
      </c>
      <c r="G808" s="9">
        <v>1</v>
      </c>
      <c r="H808" s="9">
        <v>1</v>
      </c>
      <c r="I808" s="9">
        <v>0</v>
      </c>
      <c r="J808" s="9">
        <v>1</v>
      </c>
      <c r="K808" s="9">
        <v>0</v>
      </c>
      <c r="L808" s="9">
        <v>1</v>
      </c>
      <c r="M808" s="9">
        <v>0</v>
      </c>
      <c r="N808" s="9">
        <v>1</v>
      </c>
      <c r="O808" s="9">
        <v>1</v>
      </c>
      <c r="P808" s="9">
        <v>0</v>
      </c>
      <c r="Q808" s="9">
        <v>0</v>
      </c>
      <c r="R808" s="9">
        <v>1</v>
      </c>
      <c r="S808" s="1">
        <f t="shared" si="6"/>
        <v>9</v>
      </c>
    </row>
    <row r="809" spans="2:19" ht="13.2" x14ac:dyDescent="0.25">
      <c r="B809" s="109"/>
      <c r="C809" s="9">
        <v>2019</v>
      </c>
      <c r="D809" s="9">
        <v>0</v>
      </c>
      <c r="E809" s="9">
        <v>1</v>
      </c>
      <c r="F809" s="9">
        <v>1</v>
      </c>
      <c r="G809" s="9">
        <v>0</v>
      </c>
      <c r="H809" s="9">
        <v>0</v>
      </c>
      <c r="I809" s="9">
        <v>0</v>
      </c>
      <c r="J809" s="9">
        <v>0</v>
      </c>
      <c r="K809" s="9">
        <v>1</v>
      </c>
      <c r="L809" s="9">
        <v>1</v>
      </c>
      <c r="M809" s="9">
        <v>1</v>
      </c>
      <c r="N809" s="9">
        <v>0</v>
      </c>
      <c r="O809" s="9">
        <v>0</v>
      </c>
      <c r="P809" s="9">
        <v>0</v>
      </c>
      <c r="Q809" s="9">
        <v>1</v>
      </c>
      <c r="R809" s="9">
        <v>0</v>
      </c>
      <c r="S809" s="1">
        <f t="shared" si="6"/>
        <v>6</v>
      </c>
    </row>
    <row r="810" spans="2:19" ht="13.2" x14ac:dyDescent="0.25">
      <c r="B810" s="109"/>
      <c r="C810" s="9">
        <v>2020</v>
      </c>
      <c r="D810" s="9">
        <v>1</v>
      </c>
      <c r="E810" s="9">
        <v>0</v>
      </c>
      <c r="F810" s="9">
        <v>1</v>
      </c>
      <c r="G810" s="9">
        <v>1</v>
      </c>
      <c r="H810" s="9">
        <v>0</v>
      </c>
      <c r="I810" s="9">
        <v>0</v>
      </c>
      <c r="J810" s="9">
        <v>0</v>
      </c>
      <c r="K810" s="9">
        <v>0</v>
      </c>
      <c r="L810" s="9">
        <v>1</v>
      </c>
      <c r="M810" s="9">
        <v>1</v>
      </c>
      <c r="N810" s="9">
        <v>0</v>
      </c>
      <c r="O810" s="9">
        <v>1</v>
      </c>
      <c r="P810" s="9">
        <v>1</v>
      </c>
      <c r="Q810" s="9">
        <v>0</v>
      </c>
      <c r="R810" s="9">
        <v>0</v>
      </c>
      <c r="S810" s="1">
        <f t="shared" si="6"/>
        <v>7</v>
      </c>
    </row>
    <row r="811" spans="2:19" ht="13.2" x14ac:dyDescent="0.25">
      <c r="B811" s="109"/>
      <c r="C811" s="9">
        <v>2021</v>
      </c>
      <c r="D811" s="9">
        <v>0</v>
      </c>
      <c r="E811" s="9">
        <v>1</v>
      </c>
      <c r="F811" s="9">
        <v>0</v>
      </c>
      <c r="G811" s="9">
        <v>0</v>
      </c>
      <c r="H811" s="9">
        <v>1</v>
      </c>
      <c r="I811" s="9">
        <v>0</v>
      </c>
      <c r="J811" s="9">
        <v>1</v>
      </c>
      <c r="K811" s="9">
        <v>0</v>
      </c>
      <c r="L811" s="9">
        <v>1</v>
      </c>
      <c r="M811" s="9">
        <v>0</v>
      </c>
      <c r="N811" s="9">
        <v>1</v>
      </c>
      <c r="O811" s="9">
        <v>1</v>
      </c>
      <c r="P811" s="9">
        <v>0</v>
      </c>
      <c r="Q811" s="9">
        <v>1</v>
      </c>
      <c r="R811" s="9">
        <v>1</v>
      </c>
      <c r="S811" s="1">
        <f t="shared" si="6"/>
        <v>8</v>
      </c>
    </row>
    <row r="812" spans="2:19" ht="13.2" x14ac:dyDescent="0.25">
      <c r="B812" s="110"/>
      <c r="C812" s="9">
        <v>2022</v>
      </c>
      <c r="D812" s="9">
        <v>0</v>
      </c>
      <c r="E812" s="9">
        <v>0</v>
      </c>
      <c r="F812" s="9">
        <v>0</v>
      </c>
      <c r="G812" s="9">
        <v>1</v>
      </c>
      <c r="H812" s="9">
        <v>0</v>
      </c>
      <c r="I812" s="9">
        <v>0</v>
      </c>
      <c r="J812" s="9">
        <v>0</v>
      </c>
      <c r="K812" s="9">
        <v>1</v>
      </c>
      <c r="L812" s="9">
        <v>0</v>
      </c>
      <c r="M812" s="9">
        <v>1</v>
      </c>
      <c r="N812" s="9">
        <v>1</v>
      </c>
      <c r="O812" s="9">
        <v>1</v>
      </c>
      <c r="P812" s="9">
        <v>0</v>
      </c>
      <c r="Q812" s="9">
        <v>1</v>
      </c>
      <c r="R812" s="9">
        <v>0</v>
      </c>
      <c r="S812" s="1">
        <f t="shared" si="6"/>
        <v>6</v>
      </c>
    </row>
    <row r="813" spans="2:19" ht="13.2" x14ac:dyDescent="0.25">
      <c r="B813" s="108" t="s">
        <v>183</v>
      </c>
      <c r="C813" s="9">
        <v>2018</v>
      </c>
      <c r="D813" s="9">
        <v>0</v>
      </c>
      <c r="E813" s="9">
        <v>1</v>
      </c>
      <c r="F813" s="9">
        <v>1</v>
      </c>
      <c r="G813" s="9">
        <v>1</v>
      </c>
      <c r="H813" s="9">
        <v>1</v>
      </c>
      <c r="I813" s="9">
        <v>0</v>
      </c>
      <c r="J813" s="9">
        <v>1</v>
      </c>
      <c r="K813" s="9">
        <v>1</v>
      </c>
      <c r="L813" s="9">
        <v>0</v>
      </c>
      <c r="M813" s="9">
        <v>0</v>
      </c>
      <c r="N813" s="9">
        <v>0</v>
      </c>
      <c r="O813" s="9">
        <v>1</v>
      </c>
      <c r="P813" s="9">
        <v>1</v>
      </c>
      <c r="Q813" s="9">
        <v>1</v>
      </c>
      <c r="R813" s="9">
        <v>1</v>
      </c>
      <c r="S813" s="1">
        <f t="shared" si="6"/>
        <v>10</v>
      </c>
    </row>
    <row r="814" spans="2:19" ht="13.2" x14ac:dyDescent="0.25">
      <c r="B814" s="109"/>
      <c r="C814" s="9">
        <v>2019</v>
      </c>
      <c r="D814" s="9">
        <v>0</v>
      </c>
      <c r="E814" s="9">
        <v>0</v>
      </c>
      <c r="F814" s="9">
        <v>1</v>
      </c>
      <c r="G814" s="9">
        <v>1</v>
      </c>
      <c r="H814" s="9">
        <v>0</v>
      </c>
      <c r="I814" s="9">
        <v>1</v>
      </c>
      <c r="J814" s="9">
        <v>0</v>
      </c>
      <c r="K814" s="9">
        <v>0</v>
      </c>
      <c r="L814" s="9">
        <v>1</v>
      </c>
      <c r="M814" s="9">
        <v>0</v>
      </c>
      <c r="N814" s="9">
        <v>1</v>
      </c>
      <c r="O814" s="9">
        <v>1</v>
      </c>
      <c r="P814" s="9">
        <v>0</v>
      </c>
      <c r="Q814" s="9">
        <v>0</v>
      </c>
      <c r="R814" s="9">
        <v>1</v>
      </c>
      <c r="S814" s="1">
        <f t="shared" si="6"/>
        <v>7</v>
      </c>
    </row>
    <row r="815" spans="2:19" ht="13.2" x14ac:dyDescent="0.25">
      <c r="B815" s="109"/>
      <c r="C815" s="9">
        <v>2020</v>
      </c>
      <c r="D815" s="9">
        <v>0</v>
      </c>
      <c r="E815" s="9">
        <v>1</v>
      </c>
      <c r="F815" s="9">
        <v>0</v>
      </c>
      <c r="G815" s="9">
        <v>1</v>
      </c>
      <c r="H815" s="9">
        <v>1</v>
      </c>
      <c r="I815" s="9">
        <v>0</v>
      </c>
      <c r="J815" s="9">
        <v>1</v>
      </c>
      <c r="K815" s="9">
        <v>1</v>
      </c>
      <c r="L815" s="9">
        <v>1</v>
      </c>
      <c r="M815" s="9">
        <v>0</v>
      </c>
      <c r="N815" s="9">
        <v>1</v>
      </c>
      <c r="O815" s="9">
        <v>1</v>
      </c>
      <c r="P815" s="9">
        <v>1</v>
      </c>
      <c r="Q815" s="9">
        <v>0</v>
      </c>
      <c r="R815" s="9">
        <v>1</v>
      </c>
      <c r="S815" s="1">
        <f t="shared" si="6"/>
        <v>10</v>
      </c>
    </row>
    <row r="816" spans="2:19" ht="13.2" x14ac:dyDescent="0.25">
      <c r="B816" s="109"/>
      <c r="C816" s="9">
        <v>2021</v>
      </c>
      <c r="D816" s="9">
        <v>1</v>
      </c>
      <c r="E816" s="9">
        <v>0</v>
      </c>
      <c r="F816" s="9">
        <v>0</v>
      </c>
      <c r="G816" s="9">
        <v>1</v>
      </c>
      <c r="H816" s="9">
        <v>0</v>
      </c>
      <c r="I816" s="9">
        <v>1</v>
      </c>
      <c r="J816" s="9">
        <v>0</v>
      </c>
      <c r="K816" s="9">
        <v>0</v>
      </c>
      <c r="L816" s="9">
        <v>1</v>
      </c>
      <c r="M816" s="9">
        <v>0</v>
      </c>
      <c r="N816" s="9">
        <v>1</v>
      </c>
      <c r="O816" s="9">
        <v>1</v>
      </c>
      <c r="P816" s="9">
        <v>0</v>
      </c>
      <c r="Q816" s="9">
        <v>1</v>
      </c>
      <c r="R816" s="9">
        <v>0</v>
      </c>
      <c r="S816" s="1">
        <f t="shared" si="6"/>
        <v>7</v>
      </c>
    </row>
    <row r="817" spans="2:19" ht="13.2" x14ac:dyDescent="0.25">
      <c r="B817" s="110"/>
      <c r="C817" s="9">
        <v>2022</v>
      </c>
      <c r="D817" s="9">
        <v>0</v>
      </c>
      <c r="E817" s="9">
        <v>0</v>
      </c>
      <c r="F817" s="9">
        <v>1</v>
      </c>
      <c r="G817" s="9">
        <v>0</v>
      </c>
      <c r="H817" s="9">
        <v>1</v>
      </c>
      <c r="I817" s="9">
        <v>0</v>
      </c>
      <c r="J817" s="9">
        <v>1</v>
      </c>
      <c r="K817" s="9">
        <v>1</v>
      </c>
      <c r="L817" s="9">
        <v>0</v>
      </c>
      <c r="M817" s="9">
        <v>1</v>
      </c>
      <c r="N817" s="9">
        <v>1</v>
      </c>
      <c r="O817" s="9">
        <v>1</v>
      </c>
      <c r="P817" s="9">
        <v>0</v>
      </c>
      <c r="Q817" s="9">
        <v>0</v>
      </c>
      <c r="R817" s="9">
        <v>0</v>
      </c>
      <c r="S817" s="1">
        <f t="shared" si="6"/>
        <v>7</v>
      </c>
    </row>
    <row r="818" spans="2:19" ht="13.2" x14ac:dyDescent="0.25">
      <c r="B818" s="108" t="s">
        <v>184</v>
      </c>
      <c r="C818" s="9">
        <v>2018</v>
      </c>
      <c r="D818" s="9">
        <v>0</v>
      </c>
      <c r="E818" s="9">
        <v>1</v>
      </c>
      <c r="F818" s="9">
        <v>1</v>
      </c>
      <c r="G818" s="9">
        <v>1</v>
      </c>
      <c r="H818" s="9">
        <v>0</v>
      </c>
      <c r="I818" s="9">
        <v>1</v>
      </c>
      <c r="J818" s="9">
        <v>0</v>
      </c>
      <c r="K818" s="9">
        <v>1</v>
      </c>
      <c r="L818" s="9">
        <v>1</v>
      </c>
      <c r="M818" s="9">
        <v>0</v>
      </c>
      <c r="N818" s="9">
        <v>0</v>
      </c>
      <c r="O818" s="9">
        <v>1</v>
      </c>
      <c r="P818" s="9">
        <v>1</v>
      </c>
      <c r="Q818" s="9">
        <v>1</v>
      </c>
      <c r="R818" s="9">
        <v>0</v>
      </c>
      <c r="S818" s="1">
        <f t="shared" si="6"/>
        <v>9</v>
      </c>
    </row>
    <row r="819" spans="2:19" ht="13.2" x14ac:dyDescent="0.25">
      <c r="B819" s="109"/>
      <c r="C819" s="9">
        <v>2019</v>
      </c>
      <c r="D819" s="9">
        <v>0</v>
      </c>
      <c r="E819" s="9">
        <v>0</v>
      </c>
      <c r="F819" s="9">
        <v>1</v>
      </c>
      <c r="G819" s="9">
        <v>0</v>
      </c>
      <c r="H819" s="9">
        <v>1</v>
      </c>
      <c r="I819" s="9">
        <v>1</v>
      </c>
      <c r="J819" s="9">
        <v>0</v>
      </c>
      <c r="K819" s="9">
        <v>1</v>
      </c>
      <c r="L819" s="9">
        <v>1</v>
      </c>
      <c r="M819" s="9">
        <v>0</v>
      </c>
      <c r="N819" s="9">
        <v>0</v>
      </c>
      <c r="O819" s="9">
        <v>0</v>
      </c>
      <c r="P819" s="9">
        <v>0</v>
      </c>
      <c r="Q819" s="9">
        <v>0</v>
      </c>
      <c r="R819" s="9">
        <v>1</v>
      </c>
      <c r="S819" s="1">
        <f t="shared" si="6"/>
        <v>6</v>
      </c>
    </row>
    <row r="820" spans="2:19" ht="13.2" x14ac:dyDescent="0.25">
      <c r="B820" s="109"/>
      <c r="C820" s="9">
        <v>2020</v>
      </c>
      <c r="D820" s="9">
        <v>0</v>
      </c>
      <c r="E820" s="9">
        <v>0</v>
      </c>
      <c r="F820" s="9">
        <v>1</v>
      </c>
      <c r="G820" s="9">
        <v>0</v>
      </c>
      <c r="H820" s="9">
        <v>1</v>
      </c>
      <c r="I820" s="9">
        <v>0</v>
      </c>
      <c r="J820" s="9">
        <v>0</v>
      </c>
      <c r="K820" s="9">
        <v>0</v>
      </c>
      <c r="L820" s="9">
        <v>0</v>
      </c>
      <c r="M820" s="9">
        <v>0</v>
      </c>
      <c r="N820" s="9">
        <v>1</v>
      </c>
      <c r="O820" s="9">
        <v>1</v>
      </c>
      <c r="P820" s="9">
        <v>0</v>
      </c>
      <c r="Q820" s="9">
        <v>0</v>
      </c>
      <c r="R820" s="9">
        <v>1</v>
      </c>
      <c r="S820" s="1">
        <f t="shared" si="6"/>
        <v>5</v>
      </c>
    </row>
    <row r="821" spans="2:19" ht="13.2" x14ac:dyDescent="0.25">
      <c r="B821" s="109"/>
      <c r="C821" s="9">
        <v>2021</v>
      </c>
      <c r="D821" s="9">
        <v>1</v>
      </c>
      <c r="E821" s="9">
        <v>1</v>
      </c>
      <c r="F821" s="9">
        <v>0</v>
      </c>
      <c r="G821" s="9">
        <v>0</v>
      </c>
      <c r="H821" s="9">
        <v>1</v>
      </c>
      <c r="I821" s="9">
        <v>0</v>
      </c>
      <c r="J821" s="9">
        <v>1</v>
      </c>
      <c r="K821" s="9">
        <v>0</v>
      </c>
      <c r="L821" s="9">
        <v>0</v>
      </c>
      <c r="M821" s="9">
        <v>1</v>
      </c>
      <c r="N821" s="9">
        <v>1</v>
      </c>
      <c r="O821" s="9">
        <v>1</v>
      </c>
      <c r="P821" s="9">
        <v>1</v>
      </c>
      <c r="Q821" s="9">
        <v>0</v>
      </c>
      <c r="R821" s="9">
        <v>1</v>
      </c>
      <c r="S821" s="1">
        <f t="shared" si="6"/>
        <v>9</v>
      </c>
    </row>
    <row r="822" spans="2:19" ht="13.2" x14ac:dyDescent="0.25">
      <c r="B822" s="110"/>
      <c r="C822" s="9">
        <v>2022</v>
      </c>
      <c r="D822" s="9">
        <v>1</v>
      </c>
      <c r="E822" s="9">
        <v>0</v>
      </c>
      <c r="F822" s="9">
        <v>1</v>
      </c>
      <c r="G822" s="9">
        <v>1</v>
      </c>
      <c r="H822" s="9">
        <v>1</v>
      </c>
      <c r="I822" s="9">
        <v>1</v>
      </c>
      <c r="J822" s="9">
        <v>1</v>
      </c>
      <c r="K822" s="9">
        <v>1</v>
      </c>
      <c r="L822" s="9">
        <v>0</v>
      </c>
      <c r="M822" s="9">
        <v>0</v>
      </c>
      <c r="N822" s="9">
        <v>0</v>
      </c>
      <c r="O822" s="9">
        <v>0</v>
      </c>
      <c r="P822" s="9">
        <v>1</v>
      </c>
      <c r="Q822" s="9">
        <v>1</v>
      </c>
      <c r="R822" s="9">
        <v>1</v>
      </c>
      <c r="S822" s="1">
        <f t="shared" si="6"/>
        <v>10</v>
      </c>
    </row>
    <row r="823" spans="2:19" ht="13.2" x14ac:dyDescent="0.25">
      <c r="B823" s="108" t="s">
        <v>185</v>
      </c>
      <c r="C823" s="9">
        <v>2018</v>
      </c>
      <c r="D823" s="9">
        <v>0</v>
      </c>
      <c r="E823" s="9">
        <v>1</v>
      </c>
      <c r="F823" s="9">
        <v>0</v>
      </c>
      <c r="G823" s="9">
        <v>1</v>
      </c>
      <c r="H823" s="9">
        <v>1</v>
      </c>
      <c r="I823" s="9">
        <v>1</v>
      </c>
      <c r="J823" s="9">
        <v>0</v>
      </c>
      <c r="K823" s="9">
        <v>1</v>
      </c>
      <c r="L823" s="9">
        <v>1</v>
      </c>
      <c r="M823" s="9">
        <v>0</v>
      </c>
      <c r="N823" s="9">
        <v>0</v>
      </c>
      <c r="O823" s="9">
        <v>1</v>
      </c>
      <c r="P823" s="9">
        <v>1</v>
      </c>
      <c r="Q823" s="9">
        <v>1</v>
      </c>
      <c r="R823" s="9">
        <v>1</v>
      </c>
      <c r="S823" s="1">
        <f t="shared" si="6"/>
        <v>10</v>
      </c>
    </row>
    <row r="824" spans="2:19" ht="13.2" x14ac:dyDescent="0.25">
      <c r="B824" s="109"/>
      <c r="C824" s="9">
        <v>2019</v>
      </c>
      <c r="D824" s="9">
        <v>0</v>
      </c>
      <c r="E824" s="9">
        <v>1</v>
      </c>
      <c r="F824" s="9">
        <v>1</v>
      </c>
      <c r="G824" s="9">
        <v>0</v>
      </c>
      <c r="H824" s="9">
        <v>0</v>
      </c>
      <c r="I824" s="9">
        <v>1</v>
      </c>
      <c r="J824" s="9">
        <v>1</v>
      </c>
      <c r="K824" s="9">
        <v>1</v>
      </c>
      <c r="L824" s="9">
        <v>0</v>
      </c>
      <c r="M824" s="9">
        <v>0</v>
      </c>
      <c r="N824" s="9">
        <v>0</v>
      </c>
      <c r="O824" s="9">
        <v>0</v>
      </c>
      <c r="P824" s="9">
        <v>0</v>
      </c>
      <c r="Q824" s="9">
        <v>0</v>
      </c>
      <c r="R824" s="9">
        <v>1</v>
      </c>
      <c r="S824" s="1">
        <f t="shared" si="6"/>
        <v>6</v>
      </c>
    </row>
    <row r="825" spans="2:19" ht="13.2" x14ac:dyDescent="0.25">
      <c r="B825" s="109"/>
      <c r="C825" s="9">
        <v>2020</v>
      </c>
      <c r="D825" s="9">
        <v>0</v>
      </c>
      <c r="E825" s="9">
        <v>1</v>
      </c>
      <c r="F825" s="9">
        <v>1</v>
      </c>
      <c r="G825" s="9">
        <v>0</v>
      </c>
      <c r="H825" s="9">
        <v>1</v>
      </c>
      <c r="I825" s="9">
        <v>1</v>
      </c>
      <c r="J825" s="9">
        <v>0</v>
      </c>
      <c r="K825" s="9">
        <v>1</v>
      </c>
      <c r="L825" s="9">
        <v>1</v>
      </c>
      <c r="M825" s="9">
        <v>1</v>
      </c>
      <c r="N825" s="9">
        <v>0</v>
      </c>
      <c r="O825" s="9">
        <v>1</v>
      </c>
      <c r="P825" s="9">
        <v>1</v>
      </c>
      <c r="Q825" s="9">
        <v>0</v>
      </c>
      <c r="R825" s="9">
        <v>1</v>
      </c>
      <c r="S825" s="1">
        <f t="shared" si="6"/>
        <v>10</v>
      </c>
    </row>
    <row r="826" spans="2:19" ht="13.2" x14ac:dyDescent="0.25">
      <c r="B826" s="109"/>
      <c r="C826" s="9">
        <v>2021</v>
      </c>
      <c r="D826" s="9">
        <v>0</v>
      </c>
      <c r="E826" s="9">
        <v>1</v>
      </c>
      <c r="F826" s="9">
        <v>1</v>
      </c>
      <c r="G826" s="9">
        <v>1</v>
      </c>
      <c r="H826" s="9">
        <v>1</v>
      </c>
      <c r="I826" s="9">
        <v>1</v>
      </c>
      <c r="J826" s="9">
        <v>0</v>
      </c>
      <c r="K826" s="9">
        <v>0</v>
      </c>
      <c r="L826" s="9">
        <v>1</v>
      </c>
      <c r="M826" s="9">
        <v>0</v>
      </c>
      <c r="N826" s="9">
        <v>0</v>
      </c>
      <c r="O826" s="9">
        <v>1</v>
      </c>
      <c r="P826" s="9">
        <v>1</v>
      </c>
      <c r="Q826" s="9">
        <v>0</v>
      </c>
      <c r="R826" s="9">
        <v>1</v>
      </c>
      <c r="S826" s="1">
        <f t="shared" si="6"/>
        <v>9</v>
      </c>
    </row>
    <row r="827" spans="2:19" ht="13.2" x14ac:dyDescent="0.25">
      <c r="B827" s="110"/>
      <c r="C827" s="9">
        <v>2022</v>
      </c>
      <c r="D827" s="9">
        <v>0</v>
      </c>
      <c r="E827" s="9">
        <v>0</v>
      </c>
      <c r="F827" s="9">
        <v>1</v>
      </c>
      <c r="G827" s="9">
        <v>0</v>
      </c>
      <c r="H827" s="9">
        <v>0</v>
      </c>
      <c r="I827" s="9">
        <v>1</v>
      </c>
      <c r="J827" s="9">
        <v>0</v>
      </c>
      <c r="K827" s="9">
        <v>0</v>
      </c>
      <c r="L827" s="9">
        <v>1</v>
      </c>
      <c r="M827" s="9">
        <v>0</v>
      </c>
      <c r="N827" s="9">
        <v>0</v>
      </c>
      <c r="O827" s="9">
        <v>1</v>
      </c>
      <c r="P827" s="9">
        <v>0</v>
      </c>
      <c r="Q827" s="9">
        <v>0</v>
      </c>
      <c r="R827" s="9">
        <v>1</v>
      </c>
      <c r="S827" s="1">
        <f t="shared" si="6"/>
        <v>5</v>
      </c>
    </row>
    <row r="828" spans="2:19" ht="13.2" x14ac:dyDescent="0.25">
      <c r="B828" s="108" t="s">
        <v>186</v>
      </c>
      <c r="C828" s="9">
        <v>2018</v>
      </c>
      <c r="D828" s="9">
        <v>1</v>
      </c>
      <c r="E828" s="9">
        <v>1</v>
      </c>
      <c r="F828" s="9">
        <v>1</v>
      </c>
      <c r="G828" s="9">
        <v>1</v>
      </c>
      <c r="H828" s="9">
        <v>1</v>
      </c>
      <c r="I828" s="9">
        <v>0</v>
      </c>
      <c r="J828" s="9">
        <v>1</v>
      </c>
      <c r="K828" s="9">
        <v>1</v>
      </c>
      <c r="L828" s="9">
        <v>0</v>
      </c>
      <c r="M828" s="9">
        <v>0</v>
      </c>
      <c r="N828" s="9">
        <v>0</v>
      </c>
      <c r="O828" s="9">
        <v>1</v>
      </c>
      <c r="P828" s="9">
        <v>0</v>
      </c>
      <c r="Q828" s="9">
        <v>1</v>
      </c>
      <c r="R828" s="9">
        <v>0</v>
      </c>
      <c r="S828" s="1">
        <f t="shared" si="6"/>
        <v>9</v>
      </c>
    </row>
    <row r="829" spans="2:19" ht="13.2" x14ac:dyDescent="0.25">
      <c r="B829" s="109"/>
      <c r="C829" s="9">
        <v>2019</v>
      </c>
      <c r="D829" s="9">
        <v>0</v>
      </c>
      <c r="E829" s="9">
        <v>0</v>
      </c>
      <c r="F829" s="9">
        <v>1</v>
      </c>
      <c r="G829" s="9">
        <v>0</v>
      </c>
      <c r="H829" s="9">
        <v>0</v>
      </c>
      <c r="I829" s="9">
        <v>1</v>
      </c>
      <c r="J829" s="9">
        <v>1</v>
      </c>
      <c r="K829" s="9">
        <v>0</v>
      </c>
      <c r="L829" s="9">
        <v>1</v>
      </c>
      <c r="M829" s="9">
        <v>1</v>
      </c>
      <c r="N829" s="9">
        <v>0</v>
      </c>
      <c r="O829" s="9">
        <v>0</v>
      </c>
      <c r="P829" s="9">
        <v>1</v>
      </c>
      <c r="Q829" s="9">
        <v>1</v>
      </c>
      <c r="R829" s="9">
        <v>1</v>
      </c>
      <c r="S829" s="1">
        <f t="shared" si="6"/>
        <v>8</v>
      </c>
    </row>
    <row r="830" spans="2:19" ht="13.2" x14ac:dyDescent="0.25">
      <c r="B830" s="109"/>
      <c r="C830" s="9">
        <v>2020</v>
      </c>
      <c r="D830" s="9">
        <v>1</v>
      </c>
      <c r="E830" s="9">
        <v>1</v>
      </c>
      <c r="F830" s="9">
        <v>1</v>
      </c>
      <c r="G830" s="9">
        <v>1</v>
      </c>
      <c r="H830" s="9">
        <v>1</v>
      </c>
      <c r="I830" s="9">
        <v>0</v>
      </c>
      <c r="J830" s="9">
        <v>0</v>
      </c>
      <c r="K830" s="9">
        <v>1</v>
      </c>
      <c r="L830" s="9">
        <v>1</v>
      </c>
      <c r="M830" s="9">
        <v>1</v>
      </c>
      <c r="N830" s="9">
        <v>1</v>
      </c>
      <c r="O830" s="9">
        <v>1</v>
      </c>
      <c r="P830" s="9">
        <v>1</v>
      </c>
      <c r="Q830" s="9">
        <v>1</v>
      </c>
      <c r="R830" s="9">
        <v>1</v>
      </c>
      <c r="S830" s="1">
        <f t="shared" si="6"/>
        <v>13</v>
      </c>
    </row>
    <row r="831" spans="2:19" ht="13.2" x14ac:dyDescent="0.25">
      <c r="B831" s="109"/>
      <c r="C831" s="9">
        <v>2021</v>
      </c>
      <c r="D831" s="9">
        <v>0</v>
      </c>
      <c r="E831" s="9">
        <v>0</v>
      </c>
      <c r="F831" s="9">
        <v>1</v>
      </c>
      <c r="G831" s="9">
        <v>1</v>
      </c>
      <c r="H831" s="9">
        <v>0</v>
      </c>
      <c r="I831" s="9">
        <v>0</v>
      </c>
      <c r="J831" s="9">
        <v>0</v>
      </c>
      <c r="K831" s="9">
        <v>1</v>
      </c>
      <c r="L831" s="9">
        <v>0</v>
      </c>
      <c r="M831" s="9">
        <v>1</v>
      </c>
      <c r="N831" s="9">
        <v>0</v>
      </c>
      <c r="O831" s="9">
        <v>0</v>
      </c>
      <c r="P831" s="9">
        <v>1</v>
      </c>
      <c r="Q831" s="9">
        <v>1</v>
      </c>
      <c r="R831" s="9">
        <v>1</v>
      </c>
      <c r="S831" s="1">
        <f t="shared" si="6"/>
        <v>7</v>
      </c>
    </row>
    <row r="832" spans="2:19" ht="13.2" x14ac:dyDescent="0.25">
      <c r="B832" s="110"/>
      <c r="C832" s="9">
        <v>2022</v>
      </c>
      <c r="D832" s="9">
        <v>0</v>
      </c>
      <c r="E832" s="9">
        <v>0</v>
      </c>
      <c r="F832" s="9">
        <v>0</v>
      </c>
      <c r="G832" s="9">
        <v>0</v>
      </c>
      <c r="H832" s="9">
        <v>0</v>
      </c>
      <c r="I832" s="9">
        <v>1</v>
      </c>
      <c r="J832" s="9">
        <v>0</v>
      </c>
      <c r="K832" s="9">
        <v>0</v>
      </c>
      <c r="L832" s="9">
        <v>1</v>
      </c>
      <c r="M832" s="9">
        <v>0</v>
      </c>
      <c r="N832" s="9">
        <v>1</v>
      </c>
      <c r="O832" s="9">
        <v>0</v>
      </c>
      <c r="P832" s="9">
        <v>0</v>
      </c>
      <c r="Q832" s="9">
        <v>0</v>
      </c>
      <c r="R832" s="9">
        <v>0</v>
      </c>
      <c r="S832" s="1">
        <f t="shared" si="6"/>
        <v>3</v>
      </c>
    </row>
    <row r="833" spans="2:19" ht="13.2" x14ac:dyDescent="0.25">
      <c r="B833" s="2"/>
      <c r="C833" s="2"/>
      <c r="D833" s="2"/>
      <c r="E833" s="2"/>
      <c r="F833" s="2"/>
      <c r="G833" s="2"/>
      <c r="H833" s="2"/>
      <c r="I833" s="2"/>
      <c r="J833" s="2"/>
      <c r="K833" s="2"/>
      <c r="L833" s="2"/>
    </row>
    <row r="834" spans="2:19" ht="13.2" x14ac:dyDescent="0.25">
      <c r="B834" s="2"/>
      <c r="C834" s="2"/>
      <c r="D834" s="2"/>
      <c r="E834" s="2"/>
      <c r="F834" s="2"/>
      <c r="G834" s="2"/>
      <c r="H834" s="2"/>
      <c r="I834" s="2"/>
      <c r="J834" s="2"/>
      <c r="K834" s="2"/>
      <c r="L834" s="2"/>
    </row>
    <row r="835" spans="2:19" ht="13.2" x14ac:dyDescent="0.25">
      <c r="B835" s="2"/>
      <c r="C835" s="2"/>
      <c r="D835" s="2"/>
      <c r="E835" s="2"/>
      <c r="F835" s="2"/>
      <c r="G835" s="2"/>
      <c r="H835" s="2"/>
      <c r="I835" s="2"/>
      <c r="J835" s="2"/>
      <c r="K835" s="2"/>
      <c r="L835" s="2"/>
    </row>
    <row r="836" spans="2:19" ht="13.2" x14ac:dyDescent="0.25">
      <c r="B836" s="111" t="s">
        <v>6</v>
      </c>
      <c r="C836" s="107"/>
      <c r="D836" s="111" t="s">
        <v>189</v>
      </c>
      <c r="E836" s="106"/>
      <c r="F836" s="106"/>
      <c r="G836" s="106"/>
      <c r="H836" s="106"/>
      <c r="I836" s="106"/>
      <c r="J836" s="106"/>
      <c r="K836" s="106"/>
      <c r="L836" s="106"/>
      <c r="M836" s="106"/>
      <c r="N836" s="106"/>
      <c r="O836" s="106"/>
      <c r="P836" s="106"/>
      <c r="Q836" s="106"/>
      <c r="R836" s="107"/>
    </row>
    <row r="837" spans="2:19" ht="13.8" x14ac:dyDescent="0.25">
      <c r="B837" s="4" t="s">
        <v>6</v>
      </c>
      <c r="C837" s="5" t="s">
        <v>7</v>
      </c>
      <c r="D837" s="12" t="s">
        <v>79</v>
      </c>
      <c r="E837" s="12" t="s">
        <v>84</v>
      </c>
      <c r="F837" s="12" t="s">
        <v>87</v>
      </c>
      <c r="G837" s="12" t="s">
        <v>90</v>
      </c>
      <c r="H837" s="12" t="s">
        <v>93</v>
      </c>
      <c r="I837" s="12" t="s">
        <v>96</v>
      </c>
      <c r="J837" s="12" t="s">
        <v>100</v>
      </c>
      <c r="K837" s="12" t="s">
        <v>103</v>
      </c>
      <c r="L837" s="12" t="s">
        <v>106</v>
      </c>
      <c r="M837" s="12" t="s">
        <v>109</v>
      </c>
      <c r="N837" s="12" t="s">
        <v>112</v>
      </c>
      <c r="O837" s="12" t="s">
        <v>116</v>
      </c>
      <c r="P837" s="12" t="s">
        <v>119</v>
      </c>
      <c r="Q837" s="12" t="s">
        <v>122</v>
      </c>
      <c r="R837" s="12" t="s">
        <v>125</v>
      </c>
    </row>
    <row r="838" spans="2:19" ht="13.2" x14ac:dyDescent="0.25">
      <c r="B838" s="108" t="s">
        <v>18</v>
      </c>
      <c r="C838" s="9">
        <v>2018</v>
      </c>
      <c r="D838" s="9">
        <v>1</v>
      </c>
      <c r="E838" s="9">
        <v>1</v>
      </c>
      <c r="F838" s="9">
        <v>0</v>
      </c>
      <c r="G838" s="9">
        <v>1</v>
      </c>
      <c r="H838" s="9">
        <v>1</v>
      </c>
      <c r="I838" s="9">
        <v>1</v>
      </c>
      <c r="J838" s="9">
        <v>0</v>
      </c>
      <c r="K838" s="9">
        <v>1</v>
      </c>
      <c r="L838" s="9">
        <v>0</v>
      </c>
      <c r="M838" s="9">
        <v>0</v>
      </c>
      <c r="N838" s="9">
        <v>1</v>
      </c>
      <c r="O838" s="9">
        <v>1</v>
      </c>
      <c r="P838" s="9">
        <v>0</v>
      </c>
      <c r="Q838" s="9">
        <v>0</v>
      </c>
      <c r="R838" s="9">
        <v>0</v>
      </c>
      <c r="S838" s="1">
        <f t="shared" ref="S838:S967" si="7">SUM(D838:R838)</f>
        <v>8</v>
      </c>
    </row>
    <row r="839" spans="2:19" ht="13.2" x14ac:dyDescent="0.25">
      <c r="B839" s="109"/>
      <c r="C839" s="9">
        <v>2019</v>
      </c>
      <c r="D839" s="9">
        <v>0</v>
      </c>
      <c r="E839" s="9">
        <v>1</v>
      </c>
      <c r="F839" s="9">
        <v>0</v>
      </c>
      <c r="G839" s="9">
        <v>1</v>
      </c>
      <c r="H839" s="9">
        <v>1</v>
      </c>
      <c r="I839" s="9">
        <v>1</v>
      </c>
      <c r="J839" s="9">
        <v>0</v>
      </c>
      <c r="K839" s="9">
        <v>0</v>
      </c>
      <c r="L839" s="9">
        <v>0</v>
      </c>
      <c r="M839" s="9">
        <v>0</v>
      </c>
      <c r="N839" s="9">
        <v>0</v>
      </c>
      <c r="O839" s="9">
        <v>0</v>
      </c>
      <c r="P839" s="9">
        <v>1</v>
      </c>
      <c r="Q839" s="9">
        <v>0</v>
      </c>
      <c r="R839" s="9">
        <v>0</v>
      </c>
      <c r="S839" s="1">
        <f t="shared" si="7"/>
        <v>5</v>
      </c>
    </row>
    <row r="840" spans="2:19" ht="13.2" x14ac:dyDescent="0.25">
      <c r="B840" s="109"/>
      <c r="C840" s="9">
        <v>2020</v>
      </c>
      <c r="D840" s="9">
        <v>1</v>
      </c>
      <c r="E840" s="9">
        <v>0</v>
      </c>
      <c r="F840" s="9">
        <v>0</v>
      </c>
      <c r="G840" s="9">
        <v>0</v>
      </c>
      <c r="H840" s="9">
        <v>0</v>
      </c>
      <c r="I840" s="9">
        <v>0</v>
      </c>
      <c r="J840" s="9">
        <v>1</v>
      </c>
      <c r="K840" s="9">
        <v>0</v>
      </c>
      <c r="L840" s="9">
        <v>0</v>
      </c>
      <c r="M840" s="9">
        <v>1</v>
      </c>
      <c r="N840" s="9">
        <v>1</v>
      </c>
      <c r="O840" s="9">
        <v>0</v>
      </c>
      <c r="P840" s="9">
        <v>0</v>
      </c>
      <c r="Q840" s="9">
        <v>1</v>
      </c>
      <c r="R840" s="9">
        <v>1</v>
      </c>
      <c r="S840" s="1">
        <f t="shared" si="7"/>
        <v>6</v>
      </c>
    </row>
    <row r="841" spans="2:19" ht="13.2" x14ac:dyDescent="0.25">
      <c r="B841" s="109"/>
      <c r="C841" s="9">
        <v>2021</v>
      </c>
      <c r="D841" s="9">
        <v>1</v>
      </c>
      <c r="E841" s="9">
        <v>0</v>
      </c>
      <c r="F841" s="9">
        <v>1</v>
      </c>
      <c r="G841" s="9">
        <v>0</v>
      </c>
      <c r="H841" s="9">
        <v>1</v>
      </c>
      <c r="I841" s="9">
        <v>0</v>
      </c>
      <c r="J841" s="9">
        <v>1</v>
      </c>
      <c r="K841" s="9">
        <v>1</v>
      </c>
      <c r="L841" s="9">
        <v>1</v>
      </c>
      <c r="M841" s="9">
        <v>1</v>
      </c>
      <c r="N841" s="9">
        <v>1</v>
      </c>
      <c r="O841" s="9">
        <v>0</v>
      </c>
      <c r="P841" s="9">
        <v>0</v>
      </c>
      <c r="Q841" s="9">
        <v>0</v>
      </c>
      <c r="R841" s="9">
        <v>0</v>
      </c>
      <c r="S841" s="1">
        <f t="shared" si="7"/>
        <v>8</v>
      </c>
    </row>
    <row r="842" spans="2:19" ht="13.2" x14ac:dyDescent="0.25">
      <c r="B842" s="110"/>
      <c r="C842" s="9">
        <v>2022</v>
      </c>
      <c r="D842" s="9">
        <v>0</v>
      </c>
      <c r="E842" s="9">
        <v>0</v>
      </c>
      <c r="F842" s="9">
        <v>1</v>
      </c>
      <c r="G842" s="9">
        <v>0</v>
      </c>
      <c r="H842" s="9">
        <v>0</v>
      </c>
      <c r="I842" s="9">
        <v>1</v>
      </c>
      <c r="J842" s="9">
        <v>1</v>
      </c>
      <c r="K842" s="9">
        <v>0</v>
      </c>
      <c r="L842" s="9">
        <v>1</v>
      </c>
      <c r="M842" s="9">
        <v>0</v>
      </c>
      <c r="N842" s="9">
        <v>1</v>
      </c>
      <c r="O842" s="9">
        <v>1</v>
      </c>
      <c r="P842" s="9">
        <v>0</v>
      </c>
      <c r="Q842" s="9">
        <v>1</v>
      </c>
      <c r="R842" s="9">
        <v>0</v>
      </c>
      <c r="S842" s="1">
        <f t="shared" si="7"/>
        <v>7</v>
      </c>
    </row>
    <row r="843" spans="2:19" ht="13.2" x14ac:dyDescent="0.25">
      <c r="B843" s="108" t="s">
        <v>39</v>
      </c>
      <c r="C843" s="9">
        <v>2018</v>
      </c>
      <c r="D843" s="9">
        <v>1</v>
      </c>
      <c r="E843" s="9">
        <v>1</v>
      </c>
      <c r="F843" s="9">
        <v>0</v>
      </c>
      <c r="G843" s="9">
        <v>0</v>
      </c>
      <c r="H843" s="9">
        <v>1</v>
      </c>
      <c r="I843" s="9">
        <v>0</v>
      </c>
      <c r="J843" s="9">
        <v>1</v>
      </c>
      <c r="K843" s="9">
        <v>1</v>
      </c>
      <c r="L843" s="9">
        <v>0</v>
      </c>
      <c r="M843" s="9">
        <v>1</v>
      </c>
      <c r="N843" s="9">
        <v>0</v>
      </c>
      <c r="O843" s="9">
        <v>0</v>
      </c>
      <c r="P843" s="9">
        <v>0</v>
      </c>
      <c r="Q843" s="9">
        <v>0</v>
      </c>
      <c r="R843" s="9">
        <v>0</v>
      </c>
      <c r="S843" s="1">
        <f t="shared" si="7"/>
        <v>6</v>
      </c>
    </row>
    <row r="844" spans="2:19" ht="13.2" x14ac:dyDescent="0.25">
      <c r="B844" s="109"/>
      <c r="C844" s="9">
        <v>2019</v>
      </c>
      <c r="D844" s="9">
        <v>0</v>
      </c>
      <c r="E844" s="9">
        <v>0</v>
      </c>
      <c r="F844" s="9">
        <v>1</v>
      </c>
      <c r="G844" s="9">
        <v>0</v>
      </c>
      <c r="H844" s="9">
        <v>0</v>
      </c>
      <c r="I844" s="9">
        <v>1</v>
      </c>
      <c r="J844" s="9">
        <v>1</v>
      </c>
      <c r="K844" s="9">
        <v>1</v>
      </c>
      <c r="L844" s="9">
        <v>0</v>
      </c>
      <c r="M844" s="9">
        <v>1</v>
      </c>
      <c r="N844" s="9">
        <v>0</v>
      </c>
      <c r="O844" s="9">
        <v>1</v>
      </c>
      <c r="P844" s="9">
        <v>0</v>
      </c>
      <c r="Q844" s="9">
        <v>1</v>
      </c>
      <c r="R844" s="9">
        <v>1</v>
      </c>
      <c r="S844" s="1">
        <f t="shared" si="7"/>
        <v>8</v>
      </c>
    </row>
    <row r="845" spans="2:19" ht="13.2" x14ac:dyDescent="0.25">
      <c r="B845" s="109"/>
      <c r="C845" s="9">
        <v>2020</v>
      </c>
      <c r="D845" s="9">
        <v>0</v>
      </c>
      <c r="E845" s="9">
        <v>1</v>
      </c>
      <c r="F845" s="9">
        <v>1</v>
      </c>
      <c r="G845" s="9">
        <v>1</v>
      </c>
      <c r="H845" s="9">
        <v>0</v>
      </c>
      <c r="I845" s="9">
        <v>1</v>
      </c>
      <c r="J845" s="9">
        <v>1</v>
      </c>
      <c r="K845" s="9">
        <v>0</v>
      </c>
      <c r="L845" s="9">
        <v>1</v>
      </c>
      <c r="M845" s="9">
        <v>0</v>
      </c>
      <c r="N845" s="9">
        <v>1</v>
      </c>
      <c r="O845" s="9">
        <v>1</v>
      </c>
      <c r="P845" s="9">
        <v>0</v>
      </c>
      <c r="Q845" s="9">
        <v>1</v>
      </c>
      <c r="R845" s="9">
        <v>0</v>
      </c>
      <c r="S845" s="1">
        <f t="shared" si="7"/>
        <v>9</v>
      </c>
    </row>
    <row r="846" spans="2:19" ht="13.2" x14ac:dyDescent="0.25">
      <c r="B846" s="109"/>
      <c r="C846" s="9">
        <v>2021</v>
      </c>
      <c r="D846" s="9">
        <v>0</v>
      </c>
      <c r="E846" s="9">
        <v>0</v>
      </c>
      <c r="F846" s="9">
        <v>0</v>
      </c>
      <c r="G846" s="9">
        <v>0</v>
      </c>
      <c r="H846" s="9">
        <v>0</v>
      </c>
      <c r="I846" s="9">
        <v>0</v>
      </c>
      <c r="J846" s="9">
        <v>0</v>
      </c>
      <c r="K846" s="9">
        <v>0</v>
      </c>
      <c r="L846" s="9">
        <v>0</v>
      </c>
      <c r="M846" s="9">
        <v>0</v>
      </c>
      <c r="N846" s="9">
        <v>1</v>
      </c>
      <c r="O846" s="9">
        <v>0</v>
      </c>
      <c r="P846" s="9">
        <v>1</v>
      </c>
      <c r="Q846" s="9">
        <v>0</v>
      </c>
      <c r="R846" s="9">
        <v>1</v>
      </c>
      <c r="S846" s="1">
        <f t="shared" si="7"/>
        <v>3</v>
      </c>
    </row>
    <row r="847" spans="2:19" ht="13.2" x14ac:dyDescent="0.25">
      <c r="B847" s="110"/>
      <c r="C847" s="9">
        <v>2022</v>
      </c>
      <c r="D847" s="9">
        <v>0</v>
      </c>
      <c r="E847" s="9">
        <v>1</v>
      </c>
      <c r="F847" s="9">
        <v>0</v>
      </c>
      <c r="G847" s="9">
        <v>1</v>
      </c>
      <c r="H847" s="9">
        <v>1</v>
      </c>
      <c r="I847" s="9">
        <v>0</v>
      </c>
      <c r="J847" s="9">
        <v>0</v>
      </c>
      <c r="K847" s="9">
        <v>0</v>
      </c>
      <c r="L847" s="9">
        <v>0</v>
      </c>
      <c r="M847" s="9">
        <v>1</v>
      </c>
      <c r="N847" s="9">
        <v>0</v>
      </c>
      <c r="O847" s="9">
        <v>1</v>
      </c>
      <c r="P847" s="9">
        <v>0</v>
      </c>
      <c r="Q847" s="9">
        <v>1</v>
      </c>
      <c r="R847" s="9">
        <v>0</v>
      </c>
      <c r="S847" s="1">
        <f t="shared" si="7"/>
        <v>6</v>
      </c>
    </row>
    <row r="848" spans="2:19" ht="13.2" x14ac:dyDescent="0.25">
      <c r="B848" s="108" t="s">
        <v>60</v>
      </c>
      <c r="C848" s="9">
        <v>2018</v>
      </c>
      <c r="D848" s="9">
        <v>1</v>
      </c>
      <c r="E848" s="9">
        <v>0</v>
      </c>
      <c r="F848" s="9">
        <v>0</v>
      </c>
      <c r="G848" s="9">
        <v>0</v>
      </c>
      <c r="H848" s="9">
        <v>1</v>
      </c>
      <c r="I848" s="9">
        <v>1</v>
      </c>
      <c r="J848" s="9">
        <v>1</v>
      </c>
      <c r="K848" s="9">
        <v>0</v>
      </c>
      <c r="L848" s="9">
        <v>0</v>
      </c>
      <c r="M848" s="9">
        <v>0</v>
      </c>
      <c r="N848" s="9">
        <v>0</v>
      </c>
      <c r="O848" s="9">
        <v>1</v>
      </c>
      <c r="P848" s="9">
        <v>1</v>
      </c>
      <c r="Q848" s="9">
        <v>0</v>
      </c>
      <c r="R848" s="9">
        <v>0</v>
      </c>
      <c r="S848" s="1">
        <f t="shared" si="7"/>
        <v>6</v>
      </c>
    </row>
    <row r="849" spans="2:19" ht="13.2" x14ac:dyDescent="0.25">
      <c r="B849" s="109"/>
      <c r="C849" s="9">
        <v>2019</v>
      </c>
      <c r="D849" s="9">
        <v>0</v>
      </c>
      <c r="E849" s="9">
        <v>1</v>
      </c>
      <c r="F849" s="9">
        <v>1</v>
      </c>
      <c r="G849" s="9">
        <v>1</v>
      </c>
      <c r="H849" s="9">
        <v>1</v>
      </c>
      <c r="I849" s="9">
        <v>0</v>
      </c>
      <c r="J849" s="9">
        <v>0</v>
      </c>
      <c r="K849" s="9">
        <v>1</v>
      </c>
      <c r="L849" s="9">
        <v>1</v>
      </c>
      <c r="M849" s="9">
        <v>1</v>
      </c>
      <c r="N849" s="9">
        <v>0</v>
      </c>
      <c r="O849" s="9">
        <v>0</v>
      </c>
      <c r="P849" s="9">
        <v>1</v>
      </c>
      <c r="Q849" s="9">
        <v>0</v>
      </c>
      <c r="R849" s="9">
        <v>0</v>
      </c>
      <c r="S849" s="1">
        <f t="shared" si="7"/>
        <v>8</v>
      </c>
    </row>
    <row r="850" spans="2:19" ht="13.2" x14ac:dyDescent="0.25">
      <c r="B850" s="109"/>
      <c r="C850" s="9">
        <v>2020</v>
      </c>
      <c r="D850" s="9">
        <v>0</v>
      </c>
      <c r="E850" s="9">
        <v>0</v>
      </c>
      <c r="F850" s="9">
        <v>1</v>
      </c>
      <c r="G850" s="9">
        <v>0</v>
      </c>
      <c r="H850" s="9">
        <v>0</v>
      </c>
      <c r="I850" s="9">
        <v>0</v>
      </c>
      <c r="J850" s="9">
        <v>0</v>
      </c>
      <c r="K850" s="9">
        <v>0</v>
      </c>
      <c r="L850" s="9">
        <v>0</v>
      </c>
      <c r="M850" s="9">
        <v>0</v>
      </c>
      <c r="N850" s="9">
        <v>0</v>
      </c>
      <c r="O850" s="9">
        <v>1</v>
      </c>
      <c r="P850" s="9">
        <v>1</v>
      </c>
      <c r="Q850" s="9">
        <v>1</v>
      </c>
      <c r="R850" s="9">
        <v>0</v>
      </c>
      <c r="S850" s="1">
        <f t="shared" si="7"/>
        <v>4</v>
      </c>
    </row>
    <row r="851" spans="2:19" ht="13.2" x14ac:dyDescent="0.25">
      <c r="B851" s="109"/>
      <c r="C851" s="9">
        <v>2021</v>
      </c>
      <c r="D851" s="9">
        <v>0</v>
      </c>
      <c r="E851" s="9">
        <v>0</v>
      </c>
      <c r="F851" s="9">
        <v>0</v>
      </c>
      <c r="G851" s="9">
        <v>1</v>
      </c>
      <c r="H851" s="9">
        <v>1</v>
      </c>
      <c r="I851" s="9">
        <v>0</v>
      </c>
      <c r="J851" s="9">
        <v>0</v>
      </c>
      <c r="K851" s="9">
        <v>1</v>
      </c>
      <c r="L851" s="9">
        <v>1</v>
      </c>
      <c r="M851" s="9">
        <v>1</v>
      </c>
      <c r="N851" s="9">
        <v>1</v>
      </c>
      <c r="O851" s="9">
        <v>0</v>
      </c>
      <c r="P851" s="9">
        <v>1</v>
      </c>
      <c r="Q851" s="9">
        <v>0</v>
      </c>
      <c r="R851" s="9">
        <v>1</v>
      </c>
      <c r="S851" s="1">
        <f t="shared" si="7"/>
        <v>8</v>
      </c>
    </row>
    <row r="852" spans="2:19" ht="13.2" x14ac:dyDescent="0.25">
      <c r="B852" s="110"/>
      <c r="C852" s="9">
        <v>2022</v>
      </c>
      <c r="D852" s="9">
        <v>0</v>
      </c>
      <c r="E852" s="9">
        <v>1</v>
      </c>
      <c r="F852" s="9">
        <v>1</v>
      </c>
      <c r="G852" s="9">
        <v>1</v>
      </c>
      <c r="H852" s="9">
        <v>1</v>
      </c>
      <c r="I852" s="9">
        <v>0</v>
      </c>
      <c r="J852" s="9">
        <v>0</v>
      </c>
      <c r="K852" s="9">
        <v>0</v>
      </c>
      <c r="L852" s="9">
        <v>0</v>
      </c>
      <c r="M852" s="9">
        <v>1</v>
      </c>
      <c r="N852" s="9">
        <v>1</v>
      </c>
      <c r="O852" s="9">
        <v>1</v>
      </c>
      <c r="P852" s="9">
        <v>0</v>
      </c>
      <c r="Q852" s="9">
        <v>1</v>
      </c>
      <c r="R852" s="9">
        <v>0</v>
      </c>
      <c r="S852" s="1">
        <f t="shared" si="7"/>
        <v>8</v>
      </c>
    </row>
    <row r="853" spans="2:19" ht="13.2" x14ac:dyDescent="0.25">
      <c r="B853" s="108" t="s">
        <v>81</v>
      </c>
      <c r="C853" s="9">
        <v>2018</v>
      </c>
      <c r="D853" s="9">
        <v>1</v>
      </c>
      <c r="E853" s="9">
        <v>1</v>
      </c>
      <c r="F853" s="9">
        <v>0</v>
      </c>
      <c r="G853" s="9">
        <v>0</v>
      </c>
      <c r="H853" s="9">
        <v>0</v>
      </c>
      <c r="I853" s="9">
        <v>1</v>
      </c>
      <c r="J853" s="9">
        <v>1</v>
      </c>
      <c r="K853" s="9">
        <v>0</v>
      </c>
      <c r="L853" s="9">
        <v>0</v>
      </c>
      <c r="M853" s="9">
        <v>1</v>
      </c>
      <c r="N853" s="9">
        <v>0</v>
      </c>
      <c r="O853" s="9">
        <v>1</v>
      </c>
      <c r="P853" s="9">
        <v>0</v>
      </c>
      <c r="Q853" s="9">
        <v>1</v>
      </c>
      <c r="R853" s="9">
        <v>0</v>
      </c>
      <c r="S853" s="1">
        <f t="shared" si="7"/>
        <v>7</v>
      </c>
    </row>
    <row r="854" spans="2:19" ht="13.2" x14ac:dyDescent="0.25">
      <c r="B854" s="109"/>
      <c r="C854" s="9">
        <v>2019</v>
      </c>
      <c r="D854" s="9">
        <v>1</v>
      </c>
      <c r="E854" s="9">
        <v>0</v>
      </c>
      <c r="F854" s="9">
        <v>1</v>
      </c>
      <c r="G854" s="9">
        <v>0</v>
      </c>
      <c r="H854" s="9">
        <v>1</v>
      </c>
      <c r="I854" s="9">
        <v>0</v>
      </c>
      <c r="J854" s="9">
        <v>1</v>
      </c>
      <c r="K854" s="9">
        <v>1</v>
      </c>
      <c r="L854" s="9">
        <v>1</v>
      </c>
      <c r="M854" s="9">
        <v>1</v>
      </c>
      <c r="N854" s="9">
        <v>1</v>
      </c>
      <c r="O854" s="9">
        <v>1</v>
      </c>
      <c r="P854" s="9">
        <v>0</v>
      </c>
      <c r="Q854" s="9">
        <v>1</v>
      </c>
      <c r="R854" s="9">
        <v>0</v>
      </c>
      <c r="S854" s="1">
        <f t="shared" si="7"/>
        <v>10</v>
      </c>
    </row>
    <row r="855" spans="2:19" ht="13.2" x14ac:dyDescent="0.25">
      <c r="B855" s="109"/>
      <c r="C855" s="9">
        <v>2020</v>
      </c>
      <c r="D855" s="9">
        <v>0</v>
      </c>
      <c r="E855" s="9">
        <v>0</v>
      </c>
      <c r="F855" s="9">
        <v>0</v>
      </c>
      <c r="G855" s="9">
        <v>1</v>
      </c>
      <c r="H855" s="9">
        <v>0</v>
      </c>
      <c r="I855" s="9">
        <v>0</v>
      </c>
      <c r="J855" s="9">
        <v>1</v>
      </c>
      <c r="K855" s="9">
        <v>0</v>
      </c>
      <c r="L855" s="9">
        <v>0</v>
      </c>
      <c r="M855" s="9">
        <v>1</v>
      </c>
      <c r="N855" s="9">
        <v>0</v>
      </c>
      <c r="O855" s="9">
        <v>1</v>
      </c>
      <c r="P855" s="9">
        <v>1</v>
      </c>
      <c r="Q855" s="9">
        <v>0</v>
      </c>
      <c r="R855" s="9">
        <v>0</v>
      </c>
      <c r="S855" s="1">
        <f t="shared" si="7"/>
        <v>5</v>
      </c>
    </row>
    <row r="856" spans="2:19" ht="13.2" x14ac:dyDescent="0.25">
      <c r="B856" s="109"/>
      <c r="C856" s="9">
        <v>2021</v>
      </c>
      <c r="D856" s="9">
        <v>0</v>
      </c>
      <c r="E856" s="9">
        <v>1</v>
      </c>
      <c r="F856" s="9">
        <v>0</v>
      </c>
      <c r="G856" s="9">
        <v>1</v>
      </c>
      <c r="H856" s="9">
        <v>0</v>
      </c>
      <c r="I856" s="9">
        <v>0</v>
      </c>
      <c r="J856" s="9">
        <v>0</v>
      </c>
      <c r="K856" s="9">
        <v>1</v>
      </c>
      <c r="L856" s="9">
        <v>1</v>
      </c>
      <c r="M856" s="9">
        <v>1</v>
      </c>
      <c r="N856" s="9">
        <v>0</v>
      </c>
      <c r="O856" s="9">
        <v>0</v>
      </c>
      <c r="P856" s="9">
        <v>0</v>
      </c>
      <c r="Q856" s="9">
        <v>0</v>
      </c>
      <c r="R856" s="9">
        <v>1</v>
      </c>
      <c r="S856" s="1">
        <f t="shared" si="7"/>
        <v>6</v>
      </c>
    </row>
    <row r="857" spans="2:19" ht="13.2" x14ac:dyDescent="0.25">
      <c r="B857" s="110"/>
      <c r="C857" s="9">
        <v>2022</v>
      </c>
      <c r="D857" s="9">
        <v>1</v>
      </c>
      <c r="E857" s="9">
        <v>0</v>
      </c>
      <c r="F857" s="9">
        <v>0</v>
      </c>
      <c r="G857" s="9">
        <v>1</v>
      </c>
      <c r="H857" s="9">
        <v>0</v>
      </c>
      <c r="I857" s="9">
        <v>1</v>
      </c>
      <c r="J857" s="9">
        <v>0</v>
      </c>
      <c r="K857" s="9">
        <v>0</v>
      </c>
      <c r="L857" s="9">
        <v>0</v>
      </c>
      <c r="M857" s="9">
        <v>1</v>
      </c>
      <c r="N857" s="9">
        <v>0</v>
      </c>
      <c r="O857" s="9">
        <v>0</v>
      </c>
      <c r="P857" s="9">
        <v>1</v>
      </c>
      <c r="Q857" s="9">
        <v>0</v>
      </c>
      <c r="R857" s="9">
        <v>1</v>
      </c>
      <c r="S857" s="1">
        <f t="shared" si="7"/>
        <v>6</v>
      </c>
    </row>
    <row r="858" spans="2:19" ht="13.2" x14ac:dyDescent="0.25">
      <c r="B858" s="108" t="s">
        <v>98</v>
      </c>
      <c r="C858" s="9">
        <v>2018</v>
      </c>
      <c r="D858" s="9">
        <v>0</v>
      </c>
      <c r="E858" s="9">
        <v>0</v>
      </c>
      <c r="F858" s="9">
        <v>0</v>
      </c>
      <c r="G858" s="9">
        <v>0</v>
      </c>
      <c r="H858" s="9">
        <v>0</v>
      </c>
      <c r="I858" s="9">
        <v>1</v>
      </c>
      <c r="J858" s="9">
        <v>1</v>
      </c>
      <c r="K858" s="9">
        <v>1</v>
      </c>
      <c r="L858" s="9">
        <v>0</v>
      </c>
      <c r="M858" s="9">
        <v>0</v>
      </c>
      <c r="N858" s="9">
        <v>0</v>
      </c>
      <c r="O858" s="9">
        <v>1</v>
      </c>
      <c r="P858" s="9">
        <v>1</v>
      </c>
      <c r="Q858" s="9">
        <v>0</v>
      </c>
      <c r="R858" s="9">
        <v>1</v>
      </c>
      <c r="S858" s="1">
        <f t="shared" si="7"/>
        <v>6</v>
      </c>
    </row>
    <row r="859" spans="2:19" ht="13.2" x14ac:dyDescent="0.25">
      <c r="B859" s="109"/>
      <c r="C859" s="9">
        <v>2019</v>
      </c>
      <c r="D859" s="9">
        <v>1</v>
      </c>
      <c r="E859" s="9">
        <v>0</v>
      </c>
      <c r="F859" s="9">
        <v>1</v>
      </c>
      <c r="G859" s="9">
        <v>1</v>
      </c>
      <c r="H859" s="9">
        <v>0</v>
      </c>
      <c r="I859" s="9">
        <v>0</v>
      </c>
      <c r="J859" s="9">
        <v>0</v>
      </c>
      <c r="K859" s="9">
        <v>0</v>
      </c>
      <c r="L859" s="9">
        <v>1</v>
      </c>
      <c r="M859" s="9">
        <v>1</v>
      </c>
      <c r="N859" s="9">
        <v>0</v>
      </c>
      <c r="O859" s="9">
        <v>1</v>
      </c>
      <c r="P859" s="9">
        <v>1</v>
      </c>
      <c r="Q859" s="9">
        <v>1</v>
      </c>
      <c r="R859" s="9">
        <v>1</v>
      </c>
      <c r="S859" s="1">
        <f t="shared" si="7"/>
        <v>9</v>
      </c>
    </row>
    <row r="860" spans="2:19" ht="13.2" x14ac:dyDescent="0.25">
      <c r="B860" s="109"/>
      <c r="C860" s="9">
        <v>2020</v>
      </c>
      <c r="D860" s="9">
        <v>0</v>
      </c>
      <c r="E860" s="9">
        <v>1</v>
      </c>
      <c r="F860" s="9">
        <v>1</v>
      </c>
      <c r="G860" s="9">
        <v>1</v>
      </c>
      <c r="H860" s="9">
        <v>1</v>
      </c>
      <c r="I860" s="9">
        <v>0</v>
      </c>
      <c r="J860" s="9">
        <v>0</v>
      </c>
      <c r="K860" s="9">
        <v>0</v>
      </c>
      <c r="L860" s="9">
        <v>0</v>
      </c>
      <c r="M860" s="9">
        <v>1</v>
      </c>
      <c r="N860" s="9">
        <v>0</v>
      </c>
      <c r="O860" s="9">
        <v>1</v>
      </c>
      <c r="P860" s="9">
        <v>1</v>
      </c>
      <c r="Q860" s="9">
        <v>0</v>
      </c>
      <c r="R860" s="9">
        <v>0</v>
      </c>
      <c r="S860" s="1">
        <f t="shared" si="7"/>
        <v>7</v>
      </c>
    </row>
    <row r="861" spans="2:19" ht="13.2" x14ac:dyDescent="0.25">
      <c r="B861" s="109"/>
      <c r="C861" s="9">
        <v>2021</v>
      </c>
      <c r="D861" s="9">
        <v>1</v>
      </c>
      <c r="E861" s="9">
        <v>0</v>
      </c>
      <c r="F861" s="9">
        <v>0</v>
      </c>
      <c r="G861" s="9">
        <v>1</v>
      </c>
      <c r="H861" s="9">
        <v>0</v>
      </c>
      <c r="I861" s="9">
        <v>1</v>
      </c>
      <c r="J861" s="9">
        <v>0</v>
      </c>
      <c r="K861" s="9">
        <v>0</v>
      </c>
      <c r="L861" s="9">
        <v>0</v>
      </c>
      <c r="M861" s="9">
        <v>0</v>
      </c>
      <c r="N861" s="9">
        <v>0</v>
      </c>
      <c r="O861" s="9">
        <v>0</v>
      </c>
      <c r="P861" s="9">
        <v>0</v>
      </c>
      <c r="Q861" s="9">
        <v>0</v>
      </c>
      <c r="R861" s="9">
        <v>1</v>
      </c>
      <c r="S861" s="1">
        <f t="shared" si="7"/>
        <v>4</v>
      </c>
    </row>
    <row r="862" spans="2:19" ht="13.2" x14ac:dyDescent="0.25">
      <c r="B862" s="110"/>
      <c r="C862" s="9">
        <v>2022</v>
      </c>
      <c r="D862" s="9">
        <v>0</v>
      </c>
      <c r="E862" s="9">
        <v>1</v>
      </c>
      <c r="F862" s="9">
        <v>1</v>
      </c>
      <c r="G862" s="9">
        <v>0</v>
      </c>
      <c r="H862" s="9">
        <v>0</v>
      </c>
      <c r="I862" s="9">
        <v>0</v>
      </c>
      <c r="J862" s="9">
        <v>0</v>
      </c>
      <c r="K862" s="9">
        <v>0</v>
      </c>
      <c r="L862" s="9">
        <v>1</v>
      </c>
      <c r="M862" s="9">
        <v>1</v>
      </c>
      <c r="N862" s="9">
        <v>1</v>
      </c>
      <c r="O862" s="9">
        <v>0</v>
      </c>
      <c r="P862" s="9">
        <v>0</v>
      </c>
      <c r="Q862" s="9">
        <v>1</v>
      </c>
      <c r="R862" s="9">
        <v>1</v>
      </c>
      <c r="S862" s="1">
        <f t="shared" si="7"/>
        <v>7</v>
      </c>
    </row>
    <row r="863" spans="2:19" ht="13.2" x14ac:dyDescent="0.25">
      <c r="B863" s="108" t="s">
        <v>114</v>
      </c>
      <c r="C863" s="9">
        <v>2018</v>
      </c>
      <c r="D863" s="9">
        <v>0</v>
      </c>
      <c r="E863" s="9">
        <v>1</v>
      </c>
      <c r="F863" s="9">
        <v>0</v>
      </c>
      <c r="G863" s="9">
        <v>1</v>
      </c>
      <c r="H863" s="9">
        <v>0</v>
      </c>
      <c r="I863" s="9">
        <v>1</v>
      </c>
      <c r="J863" s="9">
        <v>1</v>
      </c>
      <c r="K863" s="9">
        <v>1</v>
      </c>
      <c r="L863" s="9">
        <v>0</v>
      </c>
      <c r="M863" s="9">
        <v>1</v>
      </c>
      <c r="N863" s="9">
        <v>0</v>
      </c>
      <c r="O863" s="9">
        <v>1</v>
      </c>
      <c r="P863" s="9">
        <v>1</v>
      </c>
      <c r="Q863" s="9">
        <v>1</v>
      </c>
      <c r="R863" s="9">
        <v>0</v>
      </c>
      <c r="S863" s="1">
        <f t="shared" si="7"/>
        <v>9</v>
      </c>
    </row>
    <row r="864" spans="2:19" ht="13.2" x14ac:dyDescent="0.25">
      <c r="B864" s="109"/>
      <c r="C864" s="9">
        <v>2019</v>
      </c>
      <c r="D864" s="9">
        <v>0</v>
      </c>
      <c r="E864" s="9">
        <v>0</v>
      </c>
      <c r="F864" s="9">
        <v>1</v>
      </c>
      <c r="G864" s="9">
        <v>0</v>
      </c>
      <c r="H864" s="9">
        <v>1</v>
      </c>
      <c r="I864" s="9">
        <v>1</v>
      </c>
      <c r="J864" s="9">
        <v>0</v>
      </c>
      <c r="K864" s="9">
        <v>0</v>
      </c>
      <c r="L864" s="9">
        <v>1</v>
      </c>
      <c r="M864" s="9">
        <v>0</v>
      </c>
      <c r="N864" s="9">
        <v>0</v>
      </c>
      <c r="O864" s="9">
        <v>1</v>
      </c>
      <c r="P864" s="9">
        <v>0</v>
      </c>
      <c r="Q864" s="9">
        <v>1</v>
      </c>
      <c r="R864" s="9">
        <v>0</v>
      </c>
      <c r="S864" s="1">
        <f t="shared" si="7"/>
        <v>6</v>
      </c>
    </row>
    <row r="865" spans="2:19" ht="13.2" x14ac:dyDescent="0.25">
      <c r="B865" s="109"/>
      <c r="C865" s="9">
        <v>2020</v>
      </c>
      <c r="D865" s="9">
        <v>1</v>
      </c>
      <c r="E865" s="9">
        <v>1</v>
      </c>
      <c r="F865" s="9">
        <v>1</v>
      </c>
      <c r="G865" s="9">
        <v>1</v>
      </c>
      <c r="H865" s="9">
        <v>1</v>
      </c>
      <c r="I865" s="9">
        <v>0</v>
      </c>
      <c r="J865" s="9">
        <v>0</v>
      </c>
      <c r="K865" s="9">
        <v>1</v>
      </c>
      <c r="L865" s="9">
        <v>1</v>
      </c>
      <c r="M865" s="9">
        <v>1</v>
      </c>
      <c r="N865" s="9">
        <v>0</v>
      </c>
      <c r="O865" s="9">
        <v>0</v>
      </c>
      <c r="P865" s="9">
        <v>1</v>
      </c>
      <c r="Q865" s="9">
        <v>0</v>
      </c>
      <c r="R865" s="9">
        <v>1</v>
      </c>
      <c r="S865" s="1">
        <f t="shared" si="7"/>
        <v>10</v>
      </c>
    </row>
    <row r="866" spans="2:19" ht="13.2" x14ac:dyDescent="0.25">
      <c r="B866" s="109"/>
      <c r="C866" s="9">
        <v>2021</v>
      </c>
      <c r="D866" s="9">
        <v>1</v>
      </c>
      <c r="E866" s="9">
        <v>1</v>
      </c>
      <c r="F866" s="9">
        <v>0</v>
      </c>
      <c r="G866" s="9">
        <v>0</v>
      </c>
      <c r="H866" s="9">
        <v>0</v>
      </c>
      <c r="I866" s="9">
        <v>1</v>
      </c>
      <c r="J866" s="9">
        <v>0</v>
      </c>
      <c r="K866" s="9">
        <v>0</v>
      </c>
      <c r="L866" s="9">
        <v>1</v>
      </c>
      <c r="M866" s="9">
        <v>0</v>
      </c>
      <c r="N866" s="9">
        <v>1</v>
      </c>
      <c r="O866" s="9">
        <v>0</v>
      </c>
      <c r="P866" s="9">
        <v>0</v>
      </c>
      <c r="Q866" s="9">
        <v>1</v>
      </c>
      <c r="R866" s="9">
        <v>1</v>
      </c>
      <c r="S866" s="1">
        <f t="shared" si="7"/>
        <v>7</v>
      </c>
    </row>
    <row r="867" spans="2:19" ht="13.2" x14ac:dyDescent="0.25">
      <c r="B867" s="110"/>
      <c r="C867" s="9">
        <v>2022</v>
      </c>
      <c r="D867" s="9">
        <v>0</v>
      </c>
      <c r="E867" s="9">
        <v>0</v>
      </c>
      <c r="F867" s="9">
        <v>1</v>
      </c>
      <c r="G867" s="9">
        <v>1</v>
      </c>
      <c r="H867" s="9">
        <v>1</v>
      </c>
      <c r="I867" s="9">
        <v>1</v>
      </c>
      <c r="J867" s="9">
        <v>1</v>
      </c>
      <c r="K867" s="9">
        <v>1</v>
      </c>
      <c r="L867" s="9">
        <v>0</v>
      </c>
      <c r="M867" s="9">
        <v>0</v>
      </c>
      <c r="N867" s="9">
        <v>0</v>
      </c>
      <c r="O867" s="9">
        <v>0</v>
      </c>
      <c r="P867" s="9">
        <v>0</v>
      </c>
      <c r="Q867" s="9">
        <v>0</v>
      </c>
      <c r="R867" s="9">
        <v>1</v>
      </c>
      <c r="S867" s="1">
        <f t="shared" si="7"/>
        <v>7</v>
      </c>
    </row>
    <row r="868" spans="2:19" ht="13.2" x14ac:dyDescent="0.25">
      <c r="B868" s="108" t="s">
        <v>129</v>
      </c>
      <c r="C868" s="9">
        <v>2018</v>
      </c>
      <c r="D868" s="9">
        <v>0</v>
      </c>
      <c r="E868" s="9">
        <v>0</v>
      </c>
      <c r="F868" s="9">
        <v>1</v>
      </c>
      <c r="G868" s="9">
        <v>0</v>
      </c>
      <c r="H868" s="9">
        <v>0</v>
      </c>
      <c r="I868" s="9">
        <v>1</v>
      </c>
      <c r="J868" s="9">
        <v>1</v>
      </c>
      <c r="K868" s="9">
        <v>0</v>
      </c>
      <c r="L868" s="9">
        <v>0</v>
      </c>
      <c r="M868" s="9">
        <v>1</v>
      </c>
      <c r="N868" s="9">
        <v>1</v>
      </c>
      <c r="O868" s="9">
        <v>0</v>
      </c>
      <c r="P868" s="9">
        <v>1</v>
      </c>
      <c r="Q868" s="9">
        <v>0</v>
      </c>
      <c r="R868" s="9">
        <v>1</v>
      </c>
      <c r="S868" s="1">
        <f t="shared" si="7"/>
        <v>7</v>
      </c>
    </row>
    <row r="869" spans="2:19" ht="13.2" x14ac:dyDescent="0.25">
      <c r="B869" s="109"/>
      <c r="C869" s="9">
        <v>2019</v>
      </c>
      <c r="D869" s="9">
        <v>0</v>
      </c>
      <c r="E869" s="9">
        <v>0</v>
      </c>
      <c r="F869" s="9">
        <v>1</v>
      </c>
      <c r="G869" s="9">
        <v>0</v>
      </c>
      <c r="H869" s="9">
        <v>0</v>
      </c>
      <c r="I869" s="9">
        <v>0</v>
      </c>
      <c r="J869" s="9">
        <v>0</v>
      </c>
      <c r="K869" s="9">
        <v>0</v>
      </c>
      <c r="L869" s="9">
        <v>0</v>
      </c>
      <c r="M869" s="9">
        <v>0</v>
      </c>
      <c r="N869" s="9">
        <v>1</v>
      </c>
      <c r="O869" s="9">
        <v>0</v>
      </c>
      <c r="P869" s="9">
        <v>1</v>
      </c>
      <c r="Q869" s="9">
        <v>1</v>
      </c>
      <c r="R869" s="9">
        <v>1</v>
      </c>
      <c r="S869" s="1">
        <f t="shared" si="7"/>
        <v>5</v>
      </c>
    </row>
    <row r="870" spans="2:19" ht="13.2" x14ac:dyDescent="0.25">
      <c r="B870" s="109"/>
      <c r="C870" s="9">
        <v>2020</v>
      </c>
      <c r="D870" s="9">
        <v>1</v>
      </c>
      <c r="E870" s="9">
        <v>0</v>
      </c>
      <c r="F870" s="9">
        <v>0</v>
      </c>
      <c r="G870" s="9">
        <v>1</v>
      </c>
      <c r="H870" s="9">
        <v>0</v>
      </c>
      <c r="I870" s="9">
        <v>1</v>
      </c>
      <c r="J870" s="9">
        <v>0</v>
      </c>
      <c r="K870" s="9">
        <v>0</v>
      </c>
      <c r="L870" s="9">
        <v>0</v>
      </c>
      <c r="M870" s="9">
        <v>1</v>
      </c>
      <c r="N870" s="9">
        <v>1</v>
      </c>
      <c r="O870" s="9">
        <v>0</v>
      </c>
      <c r="P870" s="9">
        <v>1</v>
      </c>
      <c r="Q870" s="9">
        <v>0</v>
      </c>
      <c r="R870" s="9">
        <v>1</v>
      </c>
      <c r="S870" s="1">
        <f t="shared" si="7"/>
        <v>7</v>
      </c>
    </row>
    <row r="871" spans="2:19" ht="13.2" x14ac:dyDescent="0.25">
      <c r="B871" s="109"/>
      <c r="C871" s="9">
        <v>2021</v>
      </c>
      <c r="D871" s="9">
        <v>0</v>
      </c>
      <c r="E871" s="9">
        <v>0</v>
      </c>
      <c r="F871" s="9">
        <v>1</v>
      </c>
      <c r="G871" s="9">
        <v>0</v>
      </c>
      <c r="H871" s="9">
        <v>0</v>
      </c>
      <c r="I871" s="9">
        <v>0</v>
      </c>
      <c r="J871" s="9">
        <v>1</v>
      </c>
      <c r="K871" s="9">
        <v>1</v>
      </c>
      <c r="L871" s="9">
        <v>0</v>
      </c>
      <c r="M871" s="9">
        <v>1</v>
      </c>
      <c r="N871" s="9">
        <v>0</v>
      </c>
      <c r="O871" s="9">
        <v>0</v>
      </c>
      <c r="P871" s="9">
        <v>0</v>
      </c>
      <c r="Q871" s="9">
        <v>1</v>
      </c>
      <c r="R871" s="9">
        <v>0</v>
      </c>
      <c r="S871" s="1">
        <f t="shared" si="7"/>
        <v>5</v>
      </c>
    </row>
    <row r="872" spans="2:19" ht="13.2" x14ac:dyDescent="0.25">
      <c r="B872" s="110"/>
      <c r="C872" s="9">
        <v>2022</v>
      </c>
      <c r="D872" s="9">
        <v>0</v>
      </c>
      <c r="E872" s="9">
        <v>1</v>
      </c>
      <c r="F872" s="9">
        <v>0</v>
      </c>
      <c r="G872" s="9">
        <v>1</v>
      </c>
      <c r="H872" s="9">
        <v>1</v>
      </c>
      <c r="I872" s="9">
        <v>0</v>
      </c>
      <c r="J872" s="9">
        <v>0</v>
      </c>
      <c r="K872" s="9">
        <v>1</v>
      </c>
      <c r="L872" s="9">
        <v>0</v>
      </c>
      <c r="M872" s="9">
        <v>0</v>
      </c>
      <c r="N872" s="9">
        <v>0</v>
      </c>
      <c r="O872" s="9">
        <v>1</v>
      </c>
      <c r="P872" s="9">
        <v>1</v>
      </c>
      <c r="Q872" s="9">
        <v>1</v>
      </c>
      <c r="R872" s="9">
        <v>1</v>
      </c>
      <c r="S872" s="1">
        <f t="shared" si="7"/>
        <v>8</v>
      </c>
    </row>
    <row r="873" spans="2:19" ht="13.2" x14ac:dyDescent="0.25">
      <c r="B873" s="108" t="s">
        <v>140</v>
      </c>
      <c r="C873" s="9">
        <v>2018</v>
      </c>
      <c r="D873" s="9">
        <v>1</v>
      </c>
      <c r="E873" s="9">
        <v>0</v>
      </c>
      <c r="F873" s="9">
        <v>0</v>
      </c>
      <c r="G873" s="9">
        <v>0</v>
      </c>
      <c r="H873" s="9">
        <v>1</v>
      </c>
      <c r="I873" s="9">
        <v>1</v>
      </c>
      <c r="J873" s="9">
        <v>0</v>
      </c>
      <c r="K873" s="9">
        <v>1</v>
      </c>
      <c r="L873" s="9">
        <v>0</v>
      </c>
      <c r="M873" s="9">
        <v>0</v>
      </c>
      <c r="N873" s="9">
        <v>0</v>
      </c>
      <c r="O873" s="9">
        <v>1</v>
      </c>
      <c r="P873" s="9">
        <v>0</v>
      </c>
      <c r="Q873" s="9">
        <v>1</v>
      </c>
      <c r="R873" s="9">
        <v>0</v>
      </c>
      <c r="S873" s="1">
        <f t="shared" si="7"/>
        <v>6</v>
      </c>
    </row>
    <row r="874" spans="2:19" ht="13.2" x14ac:dyDescent="0.25">
      <c r="B874" s="109"/>
      <c r="C874" s="9">
        <v>2019</v>
      </c>
      <c r="D874" s="9">
        <v>1</v>
      </c>
      <c r="E874" s="9">
        <v>0</v>
      </c>
      <c r="F874" s="9">
        <v>0</v>
      </c>
      <c r="G874" s="9">
        <v>0</v>
      </c>
      <c r="H874" s="9">
        <v>1</v>
      </c>
      <c r="I874" s="9">
        <v>0</v>
      </c>
      <c r="J874" s="9">
        <v>0</v>
      </c>
      <c r="K874" s="9">
        <v>0</v>
      </c>
      <c r="L874" s="9">
        <v>1</v>
      </c>
      <c r="M874" s="9">
        <v>0</v>
      </c>
      <c r="N874" s="9">
        <v>0</v>
      </c>
      <c r="O874" s="9">
        <v>1</v>
      </c>
      <c r="P874" s="9">
        <v>0</v>
      </c>
      <c r="Q874" s="9">
        <v>0</v>
      </c>
      <c r="R874" s="9">
        <v>0</v>
      </c>
      <c r="S874" s="1">
        <f t="shared" si="7"/>
        <v>4</v>
      </c>
    </row>
    <row r="875" spans="2:19" ht="13.2" x14ac:dyDescent="0.25">
      <c r="B875" s="109"/>
      <c r="C875" s="9">
        <v>2020</v>
      </c>
      <c r="D875" s="9">
        <v>1</v>
      </c>
      <c r="E875" s="9">
        <v>1</v>
      </c>
      <c r="F875" s="9">
        <v>0</v>
      </c>
      <c r="G875" s="9">
        <v>1</v>
      </c>
      <c r="H875" s="9">
        <v>0</v>
      </c>
      <c r="I875" s="9">
        <v>1</v>
      </c>
      <c r="J875" s="9">
        <v>0</v>
      </c>
      <c r="K875" s="9">
        <v>1</v>
      </c>
      <c r="L875" s="9">
        <v>1</v>
      </c>
      <c r="M875" s="9">
        <v>0</v>
      </c>
      <c r="N875" s="9">
        <v>1</v>
      </c>
      <c r="O875" s="9">
        <v>1</v>
      </c>
      <c r="P875" s="9">
        <v>0</v>
      </c>
      <c r="Q875" s="9">
        <v>1</v>
      </c>
      <c r="R875" s="9">
        <v>0</v>
      </c>
      <c r="S875" s="1">
        <f t="shared" si="7"/>
        <v>9</v>
      </c>
    </row>
    <row r="876" spans="2:19" ht="13.2" x14ac:dyDescent="0.25">
      <c r="B876" s="109"/>
      <c r="C876" s="9">
        <v>2021</v>
      </c>
      <c r="D876" s="9">
        <v>1</v>
      </c>
      <c r="E876" s="9">
        <v>0</v>
      </c>
      <c r="F876" s="9">
        <v>0</v>
      </c>
      <c r="G876" s="9">
        <v>1</v>
      </c>
      <c r="H876" s="9">
        <v>1</v>
      </c>
      <c r="I876" s="9">
        <v>0</v>
      </c>
      <c r="J876" s="9">
        <v>0</v>
      </c>
      <c r="K876" s="9">
        <v>0</v>
      </c>
      <c r="L876" s="9">
        <v>1</v>
      </c>
      <c r="M876" s="9">
        <v>1</v>
      </c>
      <c r="N876" s="9">
        <v>1</v>
      </c>
      <c r="O876" s="9">
        <v>1</v>
      </c>
      <c r="P876" s="9">
        <v>1</v>
      </c>
      <c r="Q876" s="9">
        <v>1</v>
      </c>
      <c r="R876" s="9">
        <v>0</v>
      </c>
      <c r="S876" s="1">
        <f t="shared" si="7"/>
        <v>9</v>
      </c>
    </row>
    <row r="877" spans="2:19" ht="13.2" x14ac:dyDescent="0.25">
      <c r="B877" s="110"/>
      <c r="C877" s="9">
        <v>2022</v>
      </c>
      <c r="D877" s="9">
        <v>0</v>
      </c>
      <c r="E877" s="9">
        <v>0</v>
      </c>
      <c r="F877" s="9">
        <v>1</v>
      </c>
      <c r="G877" s="9">
        <v>1</v>
      </c>
      <c r="H877" s="9">
        <v>0</v>
      </c>
      <c r="I877" s="9">
        <v>1</v>
      </c>
      <c r="J877" s="9">
        <v>0</v>
      </c>
      <c r="K877" s="9">
        <v>1</v>
      </c>
      <c r="L877" s="9">
        <v>1</v>
      </c>
      <c r="M877" s="9">
        <v>1</v>
      </c>
      <c r="N877" s="9">
        <v>1</v>
      </c>
      <c r="O877" s="9">
        <v>1</v>
      </c>
      <c r="P877" s="9">
        <v>1</v>
      </c>
      <c r="Q877" s="9">
        <v>1</v>
      </c>
      <c r="R877" s="9">
        <v>1</v>
      </c>
      <c r="S877" s="1">
        <f t="shared" si="7"/>
        <v>11</v>
      </c>
    </row>
    <row r="878" spans="2:19" ht="13.2" x14ac:dyDescent="0.25">
      <c r="B878" s="108" t="s">
        <v>150</v>
      </c>
      <c r="C878" s="9">
        <v>2018</v>
      </c>
      <c r="D878" s="9">
        <v>1</v>
      </c>
      <c r="E878" s="9">
        <v>0</v>
      </c>
      <c r="F878" s="9">
        <v>1</v>
      </c>
      <c r="G878" s="9">
        <v>1</v>
      </c>
      <c r="H878" s="9">
        <v>0</v>
      </c>
      <c r="I878" s="9">
        <v>1</v>
      </c>
      <c r="J878" s="9">
        <v>1</v>
      </c>
      <c r="K878" s="9">
        <v>0</v>
      </c>
      <c r="L878" s="9">
        <v>0</v>
      </c>
      <c r="M878" s="9">
        <v>1</v>
      </c>
      <c r="N878" s="9">
        <v>0</v>
      </c>
      <c r="O878" s="9">
        <v>0</v>
      </c>
      <c r="P878" s="9">
        <v>1</v>
      </c>
      <c r="Q878" s="9">
        <v>1</v>
      </c>
      <c r="R878" s="9">
        <v>1</v>
      </c>
      <c r="S878" s="1">
        <f t="shared" si="7"/>
        <v>9</v>
      </c>
    </row>
    <row r="879" spans="2:19" ht="13.2" x14ac:dyDescent="0.25">
      <c r="B879" s="109"/>
      <c r="C879" s="9">
        <v>2019</v>
      </c>
      <c r="D879" s="9">
        <v>0</v>
      </c>
      <c r="E879" s="9">
        <v>1</v>
      </c>
      <c r="F879" s="9">
        <v>0</v>
      </c>
      <c r="G879" s="9">
        <v>0</v>
      </c>
      <c r="H879" s="9">
        <v>1</v>
      </c>
      <c r="I879" s="9">
        <v>1</v>
      </c>
      <c r="J879" s="9">
        <v>0</v>
      </c>
      <c r="K879" s="9">
        <v>1</v>
      </c>
      <c r="L879" s="9">
        <v>0</v>
      </c>
      <c r="M879" s="9">
        <v>0</v>
      </c>
      <c r="N879" s="9">
        <v>1</v>
      </c>
      <c r="O879" s="9">
        <v>0</v>
      </c>
      <c r="P879" s="9">
        <v>0</v>
      </c>
      <c r="Q879" s="9">
        <v>0</v>
      </c>
      <c r="R879" s="9">
        <v>1</v>
      </c>
      <c r="S879" s="1">
        <f t="shared" si="7"/>
        <v>6</v>
      </c>
    </row>
    <row r="880" spans="2:19" ht="13.2" x14ac:dyDescent="0.25">
      <c r="B880" s="109"/>
      <c r="C880" s="9">
        <v>2020</v>
      </c>
      <c r="D880" s="9">
        <v>0</v>
      </c>
      <c r="E880" s="9">
        <v>1</v>
      </c>
      <c r="F880" s="9">
        <v>0</v>
      </c>
      <c r="G880" s="9">
        <v>1</v>
      </c>
      <c r="H880" s="9">
        <v>1</v>
      </c>
      <c r="I880" s="9">
        <v>1</v>
      </c>
      <c r="J880" s="9">
        <v>0</v>
      </c>
      <c r="K880" s="9">
        <v>0</v>
      </c>
      <c r="L880" s="9">
        <v>0</v>
      </c>
      <c r="M880" s="9">
        <v>1</v>
      </c>
      <c r="N880" s="9">
        <v>0</v>
      </c>
      <c r="O880" s="9">
        <v>1</v>
      </c>
      <c r="P880" s="9">
        <v>1</v>
      </c>
      <c r="Q880" s="9">
        <v>0</v>
      </c>
      <c r="R880" s="9">
        <v>0</v>
      </c>
      <c r="S880" s="1">
        <f t="shared" si="7"/>
        <v>7</v>
      </c>
    </row>
    <row r="881" spans="2:19" ht="13.2" x14ac:dyDescent="0.25">
      <c r="B881" s="109"/>
      <c r="C881" s="9">
        <v>2021</v>
      </c>
      <c r="D881" s="9">
        <v>0</v>
      </c>
      <c r="E881" s="9">
        <v>0</v>
      </c>
      <c r="F881" s="9">
        <v>0</v>
      </c>
      <c r="G881" s="9">
        <v>0</v>
      </c>
      <c r="H881" s="9">
        <v>0</v>
      </c>
      <c r="I881" s="9">
        <v>1</v>
      </c>
      <c r="J881" s="9">
        <v>1</v>
      </c>
      <c r="K881" s="9">
        <v>0</v>
      </c>
      <c r="L881" s="9">
        <v>0</v>
      </c>
      <c r="M881" s="9">
        <v>1</v>
      </c>
      <c r="N881" s="9">
        <v>1</v>
      </c>
      <c r="O881" s="9">
        <v>1</v>
      </c>
      <c r="P881" s="9">
        <v>1</v>
      </c>
      <c r="Q881" s="9">
        <v>1</v>
      </c>
      <c r="R881" s="9">
        <v>0</v>
      </c>
      <c r="S881" s="1">
        <f t="shared" si="7"/>
        <v>7</v>
      </c>
    </row>
    <row r="882" spans="2:19" ht="13.2" x14ac:dyDescent="0.25">
      <c r="B882" s="110"/>
      <c r="C882" s="9">
        <v>2022</v>
      </c>
      <c r="D882" s="9">
        <v>1</v>
      </c>
      <c r="E882" s="9">
        <v>0</v>
      </c>
      <c r="F882" s="9">
        <v>0</v>
      </c>
      <c r="G882" s="9">
        <v>1</v>
      </c>
      <c r="H882" s="9">
        <v>1</v>
      </c>
      <c r="I882" s="9">
        <v>0</v>
      </c>
      <c r="J882" s="9">
        <v>0</v>
      </c>
      <c r="K882" s="9">
        <v>0</v>
      </c>
      <c r="L882" s="9">
        <v>1</v>
      </c>
      <c r="M882" s="9">
        <v>0</v>
      </c>
      <c r="N882" s="9">
        <v>1</v>
      </c>
      <c r="O882" s="9">
        <v>1</v>
      </c>
      <c r="P882" s="9">
        <v>0</v>
      </c>
      <c r="Q882" s="9">
        <v>0</v>
      </c>
      <c r="R882" s="9">
        <v>0</v>
      </c>
      <c r="S882" s="1">
        <f t="shared" si="7"/>
        <v>6</v>
      </c>
    </row>
    <row r="883" spans="2:19" ht="13.2" x14ac:dyDescent="0.25">
      <c r="B883" s="108" t="s">
        <v>156</v>
      </c>
      <c r="C883" s="9">
        <v>2018</v>
      </c>
      <c r="D883" s="9">
        <v>0</v>
      </c>
      <c r="E883" s="9">
        <v>1</v>
      </c>
      <c r="F883" s="9">
        <v>0</v>
      </c>
      <c r="G883" s="9">
        <v>1</v>
      </c>
      <c r="H883" s="9">
        <v>1</v>
      </c>
      <c r="I883" s="9">
        <v>0</v>
      </c>
      <c r="J883" s="9">
        <v>0</v>
      </c>
      <c r="K883" s="9">
        <v>1</v>
      </c>
      <c r="L883" s="9">
        <v>0</v>
      </c>
      <c r="M883" s="9">
        <v>1</v>
      </c>
      <c r="N883" s="9">
        <v>1</v>
      </c>
      <c r="O883" s="9">
        <v>0</v>
      </c>
      <c r="P883" s="9">
        <v>1</v>
      </c>
      <c r="Q883" s="9">
        <v>0</v>
      </c>
      <c r="R883" s="9">
        <v>0</v>
      </c>
      <c r="S883" s="1">
        <f t="shared" si="7"/>
        <v>7</v>
      </c>
    </row>
    <row r="884" spans="2:19" ht="13.2" x14ac:dyDescent="0.25">
      <c r="B884" s="109"/>
      <c r="C884" s="9">
        <v>2019</v>
      </c>
      <c r="D884" s="9">
        <v>0</v>
      </c>
      <c r="E884" s="9">
        <v>1</v>
      </c>
      <c r="F884" s="9">
        <v>1</v>
      </c>
      <c r="G884" s="9">
        <v>1</v>
      </c>
      <c r="H884" s="9">
        <v>0</v>
      </c>
      <c r="I884" s="9">
        <v>1</v>
      </c>
      <c r="J884" s="9">
        <v>0</v>
      </c>
      <c r="K884" s="9">
        <v>1</v>
      </c>
      <c r="L884" s="9">
        <v>1</v>
      </c>
      <c r="M884" s="9">
        <v>1</v>
      </c>
      <c r="N884" s="9">
        <v>1</v>
      </c>
      <c r="O884" s="9">
        <v>0</v>
      </c>
      <c r="P884" s="9">
        <v>0</v>
      </c>
      <c r="Q884" s="9">
        <v>1</v>
      </c>
      <c r="R884" s="9">
        <v>1</v>
      </c>
      <c r="S884" s="1">
        <f t="shared" si="7"/>
        <v>10</v>
      </c>
    </row>
    <row r="885" spans="2:19" ht="13.2" x14ac:dyDescent="0.25">
      <c r="B885" s="109"/>
      <c r="C885" s="9">
        <v>2020</v>
      </c>
      <c r="D885" s="9">
        <v>1</v>
      </c>
      <c r="E885" s="9">
        <v>0</v>
      </c>
      <c r="F885" s="9">
        <v>0</v>
      </c>
      <c r="G885" s="9">
        <v>0</v>
      </c>
      <c r="H885" s="9">
        <v>1</v>
      </c>
      <c r="I885" s="9">
        <v>0</v>
      </c>
      <c r="J885" s="9">
        <v>1</v>
      </c>
      <c r="K885" s="9">
        <v>1</v>
      </c>
      <c r="L885" s="9">
        <v>1</v>
      </c>
      <c r="M885" s="9">
        <v>0</v>
      </c>
      <c r="N885" s="9">
        <v>0</v>
      </c>
      <c r="O885" s="9">
        <v>0</v>
      </c>
      <c r="P885" s="9">
        <v>1</v>
      </c>
      <c r="Q885" s="9">
        <v>0</v>
      </c>
      <c r="R885" s="9">
        <v>0</v>
      </c>
      <c r="S885" s="1">
        <f t="shared" si="7"/>
        <v>6</v>
      </c>
    </row>
    <row r="886" spans="2:19" ht="13.2" x14ac:dyDescent="0.25">
      <c r="B886" s="109"/>
      <c r="C886" s="9">
        <v>2021</v>
      </c>
      <c r="D886" s="9">
        <v>1</v>
      </c>
      <c r="E886" s="9">
        <v>0</v>
      </c>
      <c r="F886" s="9">
        <v>0</v>
      </c>
      <c r="G886" s="9">
        <v>0</v>
      </c>
      <c r="H886" s="9">
        <v>1</v>
      </c>
      <c r="I886" s="9">
        <v>0</v>
      </c>
      <c r="J886" s="9">
        <v>0</v>
      </c>
      <c r="K886" s="9">
        <v>1</v>
      </c>
      <c r="L886" s="9">
        <v>0</v>
      </c>
      <c r="M886" s="9">
        <v>0</v>
      </c>
      <c r="N886" s="9">
        <v>0</v>
      </c>
      <c r="O886" s="9">
        <v>1</v>
      </c>
      <c r="P886" s="9">
        <v>0</v>
      </c>
      <c r="Q886" s="9">
        <v>0</v>
      </c>
      <c r="R886" s="9">
        <v>0</v>
      </c>
      <c r="S886" s="1">
        <f t="shared" si="7"/>
        <v>4</v>
      </c>
    </row>
    <row r="887" spans="2:19" ht="13.2" x14ac:dyDescent="0.25">
      <c r="B887" s="110"/>
      <c r="C887" s="9">
        <v>2022</v>
      </c>
      <c r="D887" s="9">
        <v>1</v>
      </c>
      <c r="E887" s="9">
        <v>0</v>
      </c>
      <c r="F887" s="9">
        <v>1</v>
      </c>
      <c r="G887" s="9">
        <v>0</v>
      </c>
      <c r="H887" s="9">
        <v>0</v>
      </c>
      <c r="I887" s="9">
        <v>1</v>
      </c>
      <c r="J887" s="9">
        <v>0</v>
      </c>
      <c r="K887" s="9">
        <v>0</v>
      </c>
      <c r="L887" s="9">
        <v>1</v>
      </c>
      <c r="M887" s="9">
        <v>1</v>
      </c>
      <c r="N887" s="9">
        <v>1</v>
      </c>
      <c r="O887" s="9">
        <v>1</v>
      </c>
      <c r="P887" s="9">
        <v>0</v>
      </c>
      <c r="Q887" s="9">
        <v>1</v>
      </c>
      <c r="R887" s="9">
        <v>0</v>
      </c>
      <c r="S887" s="1">
        <f t="shared" si="7"/>
        <v>8</v>
      </c>
    </row>
    <row r="888" spans="2:19" ht="13.2" x14ac:dyDescent="0.25">
      <c r="B888" s="108" t="s">
        <v>162</v>
      </c>
      <c r="C888" s="9">
        <v>2018</v>
      </c>
      <c r="D888" s="9">
        <v>0</v>
      </c>
      <c r="E888" s="9">
        <v>0</v>
      </c>
      <c r="F888" s="9">
        <v>0</v>
      </c>
      <c r="G888" s="9">
        <v>1</v>
      </c>
      <c r="H888" s="9">
        <v>1</v>
      </c>
      <c r="I888" s="9">
        <v>1</v>
      </c>
      <c r="J888" s="9">
        <v>0</v>
      </c>
      <c r="K888" s="9">
        <v>0</v>
      </c>
      <c r="L888" s="9">
        <v>0</v>
      </c>
      <c r="M888" s="9">
        <v>1</v>
      </c>
      <c r="N888" s="9">
        <v>0</v>
      </c>
      <c r="O888" s="9">
        <v>1</v>
      </c>
      <c r="P888" s="9">
        <v>1</v>
      </c>
      <c r="Q888" s="9">
        <v>1</v>
      </c>
      <c r="R888" s="9">
        <v>1</v>
      </c>
      <c r="S888" s="1">
        <f t="shared" si="7"/>
        <v>8</v>
      </c>
    </row>
    <row r="889" spans="2:19" ht="13.2" x14ac:dyDescent="0.25">
      <c r="B889" s="109"/>
      <c r="C889" s="9">
        <v>2019</v>
      </c>
      <c r="D889" s="9">
        <v>1</v>
      </c>
      <c r="E889" s="9">
        <v>1</v>
      </c>
      <c r="F889" s="9">
        <v>1</v>
      </c>
      <c r="G889" s="9">
        <v>1</v>
      </c>
      <c r="H889" s="9">
        <v>0</v>
      </c>
      <c r="I889" s="9">
        <v>1</v>
      </c>
      <c r="J889" s="9">
        <v>1</v>
      </c>
      <c r="K889" s="9">
        <v>0</v>
      </c>
      <c r="L889" s="9">
        <v>0</v>
      </c>
      <c r="M889" s="9">
        <v>1</v>
      </c>
      <c r="N889" s="9">
        <v>1</v>
      </c>
      <c r="O889" s="9">
        <v>0</v>
      </c>
      <c r="P889" s="9">
        <v>0</v>
      </c>
      <c r="Q889" s="9">
        <v>1</v>
      </c>
      <c r="R889" s="9">
        <v>0</v>
      </c>
      <c r="S889" s="1">
        <f t="shared" si="7"/>
        <v>9</v>
      </c>
    </row>
    <row r="890" spans="2:19" ht="13.2" x14ac:dyDescent="0.25">
      <c r="B890" s="109"/>
      <c r="C890" s="9">
        <v>2020</v>
      </c>
      <c r="D890" s="9">
        <v>0</v>
      </c>
      <c r="E890" s="9">
        <v>0</v>
      </c>
      <c r="F890" s="9">
        <v>1</v>
      </c>
      <c r="G890" s="9">
        <v>1</v>
      </c>
      <c r="H890" s="9">
        <v>0</v>
      </c>
      <c r="I890" s="9">
        <v>1</v>
      </c>
      <c r="J890" s="9">
        <v>0</v>
      </c>
      <c r="K890" s="9">
        <v>1</v>
      </c>
      <c r="L890" s="9">
        <v>0</v>
      </c>
      <c r="M890" s="9">
        <v>0</v>
      </c>
      <c r="N890" s="9">
        <v>1</v>
      </c>
      <c r="O890" s="9">
        <v>1</v>
      </c>
      <c r="P890" s="9">
        <v>1</v>
      </c>
      <c r="Q890" s="9">
        <v>1</v>
      </c>
      <c r="R890" s="9">
        <v>0</v>
      </c>
      <c r="S890" s="1">
        <f t="shared" si="7"/>
        <v>8</v>
      </c>
    </row>
    <row r="891" spans="2:19" ht="13.2" x14ac:dyDescent="0.25">
      <c r="B891" s="109"/>
      <c r="C891" s="9">
        <v>2021</v>
      </c>
      <c r="D891" s="9">
        <v>1</v>
      </c>
      <c r="E891" s="9">
        <v>1</v>
      </c>
      <c r="F891" s="9">
        <v>0</v>
      </c>
      <c r="G891" s="9">
        <v>1</v>
      </c>
      <c r="H891" s="9">
        <v>0</v>
      </c>
      <c r="I891" s="9">
        <v>0</v>
      </c>
      <c r="J891" s="9">
        <v>1</v>
      </c>
      <c r="K891" s="9">
        <v>1</v>
      </c>
      <c r="L891" s="9">
        <v>1</v>
      </c>
      <c r="M891" s="9">
        <v>0</v>
      </c>
      <c r="N891" s="9">
        <v>1</v>
      </c>
      <c r="O891" s="9">
        <v>1</v>
      </c>
      <c r="P891" s="9">
        <v>0</v>
      </c>
      <c r="Q891" s="9">
        <v>1</v>
      </c>
      <c r="R891" s="9">
        <v>0</v>
      </c>
      <c r="S891" s="1">
        <f t="shared" si="7"/>
        <v>9</v>
      </c>
    </row>
    <row r="892" spans="2:19" ht="13.2" x14ac:dyDescent="0.25">
      <c r="B892" s="110"/>
      <c r="C892" s="9">
        <v>2022</v>
      </c>
      <c r="D892" s="9">
        <v>1</v>
      </c>
      <c r="E892" s="9">
        <v>1</v>
      </c>
      <c r="F892" s="9">
        <v>0</v>
      </c>
      <c r="G892" s="9">
        <v>0</v>
      </c>
      <c r="H892" s="9">
        <v>0</v>
      </c>
      <c r="I892" s="9">
        <v>1</v>
      </c>
      <c r="J892" s="9">
        <v>1</v>
      </c>
      <c r="K892" s="9">
        <v>1</v>
      </c>
      <c r="L892" s="9">
        <v>1</v>
      </c>
      <c r="M892" s="9">
        <v>1</v>
      </c>
      <c r="N892" s="9">
        <v>0</v>
      </c>
      <c r="O892" s="9">
        <v>0</v>
      </c>
      <c r="P892" s="9">
        <v>0</v>
      </c>
      <c r="Q892" s="9">
        <v>1</v>
      </c>
      <c r="R892" s="9">
        <v>0</v>
      </c>
      <c r="S892" s="1">
        <f t="shared" si="7"/>
        <v>8</v>
      </c>
    </row>
    <row r="893" spans="2:19" ht="13.2" x14ac:dyDescent="0.25">
      <c r="B893" s="108" t="s">
        <v>168</v>
      </c>
      <c r="C893" s="9">
        <v>2018</v>
      </c>
      <c r="D893" s="9">
        <v>1</v>
      </c>
      <c r="E893" s="9">
        <v>0</v>
      </c>
      <c r="F893" s="9">
        <v>1</v>
      </c>
      <c r="G893" s="9">
        <v>0</v>
      </c>
      <c r="H893" s="9">
        <v>1</v>
      </c>
      <c r="I893" s="9">
        <v>1</v>
      </c>
      <c r="J893" s="9">
        <v>1</v>
      </c>
      <c r="K893" s="9">
        <v>1</v>
      </c>
      <c r="L893" s="9">
        <v>0</v>
      </c>
      <c r="M893" s="9">
        <v>0</v>
      </c>
      <c r="N893" s="9">
        <v>0</v>
      </c>
      <c r="O893" s="9">
        <v>0</v>
      </c>
      <c r="P893" s="9">
        <v>0</v>
      </c>
      <c r="Q893" s="9">
        <v>1</v>
      </c>
      <c r="R893" s="9">
        <v>0</v>
      </c>
      <c r="S893" s="1">
        <f t="shared" si="7"/>
        <v>7</v>
      </c>
    </row>
    <row r="894" spans="2:19" ht="13.2" x14ac:dyDescent="0.25">
      <c r="B894" s="109"/>
      <c r="C894" s="9">
        <v>2019</v>
      </c>
      <c r="D894" s="9">
        <v>0</v>
      </c>
      <c r="E894" s="9">
        <v>1</v>
      </c>
      <c r="F894" s="9">
        <v>1</v>
      </c>
      <c r="G894" s="9">
        <v>0</v>
      </c>
      <c r="H894" s="9">
        <v>1</v>
      </c>
      <c r="I894" s="9">
        <v>0</v>
      </c>
      <c r="J894" s="9">
        <v>0</v>
      </c>
      <c r="K894" s="9">
        <v>0</v>
      </c>
      <c r="L894" s="9">
        <v>0</v>
      </c>
      <c r="M894" s="9">
        <v>0</v>
      </c>
      <c r="N894" s="9">
        <v>0</v>
      </c>
      <c r="O894" s="9">
        <v>1</v>
      </c>
      <c r="P894" s="9">
        <v>0</v>
      </c>
      <c r="Q894" s="9">
        <v>0</v>
      </c>
      <c r="R894" s="9">
        <v>0</v>
      </c>
      <c r="S894" s="1">
        <f t="shared" si="7"/>
        <v>4</v>
      </c>
    </row>
    <row r="895" spans="2:19" ht="13.2" x14ac:dyDescent="0.25">
      <c r="B895" s="109"/>
      <c r="C895" s="9">
        <v>2020</v>
      </c>
      <c r="D895" s="9">
        <v>1</v>
      </c>
      <c r="E895" s="9">
        <v>1</v>
      </c>
      <c r="F895" s="9">
        <v>0</v>
      </c>
      <c r="G895" s="9">
        <v>1</v>
      </c>
      <c r="H895" s="9">
        <v>0</v>
      </c>
      <c r="I895" s="9">
        <v>1</v>
      </c>
      <c r="J895" s="9">
        <v>0</v>
      </c>
      <c r="K895" s="9">
        <v>0</v>
      </c>
      <c r="L895" s="9">
        <v>1</v>
      </c>
      <c r="M895" s="9">
        <v>0</v>
      </c>
      <c r="N895" s="9">
        <v>1</v>
      </c>
      <c r="O895" s="9">
        <v>0</v>
      </c>
      <c r="P895" s="9">
        <v>0</v>
      </c>
      <c r="Q895" s="9">
        <v>0</v>
      </c>
      <c r="R895" s="9">
        <v>1</v>
      </c>
      <c r="S895" s="1">
        <f t="shared" si="7"/>
        <v>7</v>
      </c>
    </row>
    <row r="896" spans="2:19" ht="13.2" x14ac:dyDescent="0.25">
      <c r="B896" s="109"/>
      <c r="C896" s="9">
        <v>2021</v>
      </c>
      <c r="D896" s="9">
        <v>0</v>
      </c>
      <c r="E896" s="9">
        <v>1</v>
      </c>
      <c r="F896" s="9">
        <v>1</v>
      </c>
      <c r="G896" s="9">
        <v>1</v>
      </c>
      <c r="H896" s="9">
        <v>1</v>
      </c>
      <c r="I896" s="9">
        <v>1</v>
      </c>
      <c r="J896" s="9">
        <v>0</v>
      </c>
      <c r="K896" s="9">
        <v>0</v>
      </c>
      <c r="L896" s="9">
        <v>1</v>
      </c>
      <c r="M896" s="9">
        <v>0</v>
      </c>
      <c r="N896" s="9">
        <v>0</v>
      </c>
      <c r="O896" s="9">
        <v>0</v>
      </c>
      <c r="P896" s="9">
        <v>0</v>
      </c>
      <c r="Q896" s="9">
        <v>1</v>
      </c>
      <c r="R896" s="9">
        <v>1</v>
      </c>
      <c r="S896" s="1">
        <f t="shared" si="7"/>
        <v>8</v>
      </c>
    </row>
    <row r="897" spans="2:19" ht="13.2" x14ac:dyDescent="0.25">
      <c r="B897" s="110"/>
      <c r="C897" s="9">
        <v>2022</v>
      </c>
      <c r="D897" s="9">
        <v>1</v>
      </c>
      <c r="E897" s="9">
        <v>1</v>
      </c>
      <c r="F897" s="9">
        <v>1</v>
      </c>
      <c r="G897" s="9">
        <v>1</v>
      </c>
      <c r="H897" s="9">
        <v>0</v>
      </c>
      <c r="I897" s="9">
        <v>1</v>
      </c>
      <c r="J897" s="9">
        <v>0</v>
      </c>
      <c r="K897" s="9">
        <v>0</v>
      </c>
      <c r="L897" s="9">
        <v>1</v>
      </c>
      <c r="M897" s="9">
        <v>1</v>
      </c>
      <c r="N897" s="9">
        <v>0</v>
      </c>
      <c r="O897" s="9">
        <v>0</v>
      </c>
      <c r="P897" s="9">
        <v>1</v>
      </c>
      <c r="Q897" s="9">
        <v>1</v>
      </c>
      <c r="R897" s="9">
        <v>1</v>
      </c>
      <c r="S897" s="1">
        <f t="shared" si="7"/>
        <v>10</v>
      </c>
    </row>
    <row r="898" spans="2:19" ht="13.2" x14ac:dyDescent="0.25">
      <c r="B898" s="108" t="s">
        <v>173</v>
      </c>
      <c r="C898" s="9">
        <v>2018</v>
      </c>
      <c r="D898" s="9">
        <v>0</v>
      </c>
      <c r="E898" s="9">
        <v>1</v>
      </c>
      <c r="F898" s="9">
        <v>0</v>
      </c>
      <c r="G898" s="9">
        <v>0</v>
      </c>
      <c r="H898" s="9">
        <v>0</v>
      </c>
      <c r="I898" s="9">
        <v>1</v>
      </c>
      <c r="J898" s="9">
        <v>0</v>
      </c>
      <c r="K898" s="9">
        <v>1</v>
      </c>
      <c r="L898" s="9">
        <v>0</v>
      </c>
      <c r="M898" s="9">
        <v>0</v>
      </c>
      <c r="N898" s="9">
        <v>1</v>
      </c>
      <c r="O898" s="9">
        <v>0</v>
      </c>
      <c r="P898" s="9">
        <v>1</v>
      </c>
      <c r="Q898" s="9">
        <v>0</v>
      </c>
      <c r="R898" s="9">
        <v>0</v>
      </c>
      <c r="S898" s="1">
        <f t="shared" si="7"/>
        <v>5</v>
      </c>
    </row>
    <row r="899" spans="2:19" ht="13.2" x14ac:dyDescent="0.25">
      <c r="B899" s="109"/>
      <c r="C899" s="9">
        <v>2019</v>
      </c>
      <c r="D899" s="9">
        <v>0</v>
      </c>
      <c r="E899" s="9">
        <v>1</v>
      </c>
      <c r="F899" s="9">
        <v>0</v>
      </c>
      <c r="G899" s="9">
        <v>1</v>
      </c>
      <c r="H899" s="9">
        <v>0</v>
      </c>
      <c r="I899" s="9">
        <v>1</v>
      </c>
      <c r="J899" s="9">
        <v>1</v>
      </c>
      <c r="K899" s="9">
        <v>1</v>
      </c>
      <c r="L899" s="9">
        <v>1</v>
      </c>
      <c r="M899" s="9">
        <v>0</v>
      </c>
      <c r="N899" s="9">
        <v>0</v>
      </c>
      <c r="O899" s="9">
        <v>1</v>
      </c>
      <c r="P899" s="9">
        <v>1</v>
      </c>
      <c r="Q899" s="9">
        <v>1</v>
      </c>
      <c r="R899" s="9">
        <v>1</v>
      </c>
      <c r="S899" s="1">
        <f t="shared" si="7"/>
        <v>10</v>
      </c>
    </row>
    <row r="900" spans="2:19" ht="13.2" x14ac:dyDescent="0.25">
      <c r="B900" s="109"/>
      <c r="C900" s="9">
        <v>2020</v>
      </c>
      <c r="D900" s="9">
        <v>0</v>
      </c>
      <c r="E900" s="9">
        <v>0</v>
      </c>
      <c r="F900" s="9">
        <v>1</v>
      </c>
      <c r="G900" s="9">
        <v>0</v>
      </c>
      <c r="H900" s="9">
        <v>1</v>
      </c>
      <c r="I900" s="9">
        <v>1</v>
      </c>
      <c r="J900" s="9">
        <v>1</v>
      </c>
      <c r="K900" s="9">
        <v>0</v>
      </c>
      <c r="L900" s="9">
        <v>1</v>
      </c>
      <c r="M900" s="9">
        <v>1</v>
      </c>
      <c r="N900" s="9">
        <v>1</v>
      </c>
      <c r="O900" s="9">
        <v>1</v>
      </c>
      <c r="P900" s="9">
        <v>0</v>
      </c>
      <c r="Q900" s="9">
        <v>0</v>
      </c>
      <c r="R900" s="9">
        <v>1</v>
      </c>
      <c r="S900" s="1">
        <f t="shared" si="7"/>
        <v>9</v>
      </c>
    </row>
    <row r="901" spans="2:19" ht="13.2" x14ac:dyDescent="0.25">
      <c r="B901" s="109"/>
      <c r="C901" s="9">
        <v>2021</v>
      </c>
      <c r="D901" s="9">
        <v>1</v>
      </c>
      <c r="E901" s="9">
        <v>0</v>
      </c>
      <c r="F901" s="9">
        <v>1</v>
      </c>
      <c r="G901" s="9">
        <v>1</v>
      </c>
      <c r="H901" s="9">
        <v>1</v>
      </c>
      <c r="I901" s="9">
        <v>0</v>
      </c>
      <c r="J901" s="9">
        <v>1</v>
      </c>
      <c r="K901" s="9">
        <v>0</v>
      </c>
      <c r="L901" s="9">
        <v>0</v>
      </c>
      <c r="M901" s="9">
        <v>1</v>
      </c>
      <c r="N901" s="9">
        <v>0</v>
      </c>
      <c r="O901" s="9">
        <v>0</v>
      </c>
      <c r="P901" s="9">
        <v>1</v>
      </c>
      <c r="Q901" s="9">
        <v>1</v>
      </c>
      <c r="R901" s="9">
        <v>0</v>
      </c>
      <c r="S901" s="1">
        <f t="shared" si="7"/>
        <v>8</v>
      </c>
    </row>
    <row r="902" spans="2:19" ht="13.2" x14ac:dyDescent="0.25">
      <c r="B902" s="110"/>
      <c r="C902" s="9">
        <v>2022</v>
      </c>
      <c r="D902" s="9">
        <v>0</v>
      </c>
      <c r="E902" s="9">
        <v>1</v>
      </c>
      <c r="F902" s="9">
        <v>0</v>
      </c>
      <c r="G902" s="9">
        <v>0</v>
      </c>
      <c r="H902" s="9">
        <v>1</v>
      </c>
      <c r="I902" s="9">
        <v>1</v>
      </c>
      <c r="J902" s="9">
        <v>0</v>
      </c>
      <c r="K902" s="9">
        <v>0</v>
      </c>
      <c r="L902" s="9">
        <v>1</v>
      </c>
      <c r="M902" s="9">
        <v>1</v>
      </c>
      <c r="N902" s="9">
        <v>0</v>
      </c>
      <c r="O902" s="9">
        <v>1</v>
      </c>
      <c r="P902" s="9">
        <v>1</v>
      </c>
      <c r="Q902" s="9">
        <v>0</v>
      </c>
      <c r="R902" s="9">
        <v>0</v>
      </c>
      <c r="S902" s="1">
        <f t="shared" si="7"/>
        <v>7</v>
      </c>
    </row>
    <row r="903" spans="2:19" ht="13.2" x14ac:dyDescent="0.25">
      <c r="B903" s="108" t="s">
        <v>174</v>
      </c>
      <c r="C903" s="9">
        <v>2018</v>
      </c>
      <c r="D903" s="9">
        <v>1</v>
      </c>
      <c r="E903" s="9">
        <v>1</v>
      </c>
      <c r="F903" s="9">
        <v>0</v>
      </c>
      <c r="G903" s="9">
        <v>0</v>
      </c>
      <c r="H903" s="9">
        <v>0</v>
      </c>
      <c r="I903" s="9">
        <v>1</v>
      </c>
      <c r="J903" s="9">
        <v>1</v>
      </c>
      <c r="K903" s="9">
        <v>0</v>
      </c>
      <c r="L903" s="9">
        <v>1</v>
      </c>
      <c r="M903" s="9">
        <v>0</v>
      </c>
      <c r="N903" s="9">
        <v>0</v>
      </c>
      <c r="O903" s="9">
        <v>1</v>
      </c>
      <c r="P903" s="9">
        <v>0</v>
      </c>
      <c r="Q903" s="9">
        <v>1</v>
      </c>
      <c r="R903" s="9">
        <v>0</v>
      </c>
      <c r="S903" s="1">
        <f t="shared" si="7"/>
        <v>7</v>
      </c>
    </row>
    <row r="904" spans="2:19" ht="13.2" x14ac:dyDescent="0.25">
      <c r="B904" s="109"/>
      <c r="C904" s="9">
        <v>2019</v>
      </c>
      <c r="D904" s="9">
        <v>0</v>
      </c>
      <c r="E904" s="9">
        <v>1</v>
      </c>
      <c r="F904" s="9">
        <v>0</v>
      </c>
      <c r="G904" s="9">
        <v>0</v>
      </c>
      <c r="H904" s="9">
        <v>1</v>
      </c>
      <c r="I904" s="9">
        <v>0</v>
      </c>
      <c r="J904" s="9">
        <v>1</v>
      </c>
      <c r="K904" s="9">
        <v>1</v>
      </c>
      <c r="L904" s="9">
        <v>1</v>
      </c>
      <c r="M904" s="9">
        <v>1</v>
      </c>
      <c r="N904" s="9">
        <v>1</v>
      </c>
      <c r="O904" s="9">
        <v>0</v>
      </c>
      <c r="P904" s="9">
        <v>0</v>
      </c>
      <c r="Q904" s="9">
        <v>1</v>
      </c>
      <c r="R904" s="9">
        <v>1</v>
      </c>
      <c r="S904" s="1">
        <f t="shared" si="7"/>
        <v>9</v>
      </c>
    </row>
    <row r="905" spans="2:19" ht="13.2" x14ac:dyDescent="0.25">
      <c r="B905" s="109"/>
      <c r="C905" s="9">
        <v>2020</v>
      </c>
      <c r="D905" s="9">
        <v>1</v>
      </c>
      <c r="E905" s="9">
        <v>1</v>
      </c>
      <c r="F905" s="9">
        <v>1</v>
      </c>
      <c r="G905" s="9">
        <v>0</v>
      </c>
      <c r="H905" s="9">
        <v>0</v>
      </c>
      <c r="I905" s="9">
        <v>0</v>
      </c>
      <c r="J905" s="9">
        <v>0</v>
      </c>
      <c r="K905" s="9">
        <v>1</v>
      </c>
      <c r="L905" s="9">
        <v>1</v>
      </c>
      <c r="M905" s="9">
        <v>0</v>
      </c>
      <c r="N905" s="9">
        <v>0</v>
      </c>
      <c r="O905" s="9">
        <v>0</v>
      </c>
      <c r="P905" s="9">
        <v>0</v>
      </c>
      <c r="Q905" s="9">
        <v>1</v>
      </c>
      <c r="R905" s="9">
        <v>1</v>
      </c>
      <c r="S905" s="1">
        <f t="shared" si="7"/>
        <v>7</v>
      </c>
    </row>
    <row r="906" spans="2:19" ht="13.2" x14ac:dyDescent="0.25">
      <c r="B906" s="109"/>
      <c r="C906" s="9">
        <v>2021</v>
      </c>
      <c r="D906" s="9">
        <v>1</v>
      </c>
      <c r="E906" s="9">
        <v>0</v>
      </c>
      <c r="F906" s="9">
        <v>0</v>
      </c>
      <c r="G906" s="9">
        <v>0</v>
      </c>
      <c r="H906" s="9">
        <v>0</v>
      </c>
      <c r="I906" s="9">
        <v>0</v>
      </c>
      <c r="J906" s="9">
        <v>0</v>
      </c>
      <c r="K906" s="9">
        <v>1</v>
      </c>
      <c r="L906" s="9">
        <v>1</v>
      </c>
      <c r="M906" s="9">
        <v>1</v>
      </c>
      <c r="N906" s="9">
        <v>0</v>
      </c>
      <c r="O906" s="9">
        <v>0</v>
      </c>
      <c r="P906" s="9">
        <v>0</v>
      </c>
      <c r="Q906" s="9">
        <v>0</v>
      </c>
      <c r="R906" s="9">
        <v>1</v>
      </c>
      <c r="S906" s="1">
        <f t="shared" si="7"/>
        <v>5</v>
      </c>
    </row>
    <row r="907" spans="2:19" ht="13.2" x14ac:dyDescent="0.25">
      <c r="B907" s="110"/>
      <c r="C907" s="9">
        <v>2022</v>
      </c>
      <c r="D907" s="9">
        <v>1</v>
      </c>
      <c r="E907" s="9">
        <v>1</v>
      </c>
      <c r="F907" s="9">
        <v>1</v>
      </c>
      <c r="G907" s="9">
        <v>1</v>
      </c>
      <c r="H907" s="9">
        <v>0</v>
      </c>
      <c r="I907" s="9">
        <v>1</v>
      </c>
      <c r="J907" s="9">
        <v>0</v>
      </c>
      <c r="K907" s="9">
        <v>1</v>
      </c>
      <c r="L907" s="9">
        <v>1</v>
      </c>
      <c r="M907" s="9">
        <v>1</v>
      </c>
      <c r="N907" s="9">
        <v>0</v>
      </c>
      <c r="O907" s="9">
        <v>1</v>
      </c>
      <c r="P907" s="9">
        <v>1</v>
      </c>
      <c r="Q907" s="9">
        <v>1</v>
      </c>
      <c r="R907" s="9">
        <v>1</v>
      </c>
      <c r="S907" s="1">
        <f t="shared" si="7"/>
        <v>12</v>
      </c>
    </row>
    <row r="908" spans="2:19" ht="13.2" x14ac:dyDescent="0.25">
      <c r="B908" s="108" t="s">
        <v>175</v>
      </c>
      <c r="C908" s="9">
        <v>2018</v>
      </c>
      <c r="D908" s="9">
        <v>1</v>
      </c>
      <c r="E908" s="9">
        <v>1</v>
      </c>
      <c r="F908" s="9">
        <v>0</v>
      </c>
      <c r="G908" s="9">
        <v>1</v>
      </c>
      <c r="H908" s="9">
        <v>0</v>
      </c>
      <c r="I908" s="9">
        <v>0</v>
      </c>
      <c r="J908" s="9">
        <v>0</v>
      </c>
      <c r="K908" s="9">
        <v>0</v>
      </c>
      <c r="L908" s="9">
        <v>0</v>
      </c>
      <c r="M908" s="9">
        <v>0</v>
      </c>
      <c r="N908" s="9">
        <v>1</v>
      </c>
      <c r="O908" s="9">
        <v>0</v>
      </c>
      <c r="P908" s="9">
        <v>1</v>
      </c>
      <c r="Q908" s="9">
        <v>1</v>
      </c>
      <c r="R908" s="9">
        <v>1</v>
      </c>
      <c r="S908" s="1">
        <f t="shared" si="7"/>
        <v>7</v>
      </c>
    </row>
    <row r="909" spans="2:19" ht="13.2" x14ac:dyDescent="0.25">
      <c r="B909" s="109"/>
      <c r="C909" s="9">
        <v>2019</v>
      </c>
      <c r="D909" s="9">
        <v>1</v>
      </c>
      <c r="E909" s="9">
        <v>1</v>
      </c>
      <c r="F909" s="9">
        <v>0</v>
      </c>
      <c r="G909" s="9">
        <v>1</v>
      </c>
      <c r="H909" s="9">
        <v>1</v>
      </c>
      <c r="I909" s="9">
        <v>0</v>
      </c>
      <c r="J909" s="9">
        <v>1</v>
      </c>
      <c r="K909" s="9">
        <v>0</v>
      </c>
      <c r="L909" s="9">
        <v>1</v>
      </c>
      <c r="M909" s="9">
        <v>0</v>
      </c>
      <c r="N909" s="9">
        <v>0</v>
      </c>
      <c r="O909" s="9">
        <v>1</v>
      </c>
      <c r="P909" s="9">
        <v>0</v>
      </c>
      <c r="Q909" s="9">
        <v>1</v>
      </c>
      <c r="R909" s="9">
        <v>0</v>
      </c>
      <c r="S909" s="1">
        <f t="shared" si="7"/>
        <v>8</v>
      </c>
    </row>
    <row r="910" spans="2:19" ht="13.2" x14ac:dyDescent="0.25">
      <c r="B910" s="109"/>
      <c r="C910" s="9">
        <v>2020</v>
      </c>
      <c r="D910" s="9">
        <v>0</v>
      </c>
      <c r="E910" s="9">
        <v>1</v>
      </c>
      <c r="F910" s="9">
        <v>0</v>
      </c>
      <c r="G910" s="9">
        <v>0</v>
      </c>
      <c r="H910" s="9">
        <v>0</v>
      </c>
      <c r="I910" s="9">
        <v>1</v>
      </c>
      <c r="J910" s="9">
        <v>0</v>
      </c>
      <c r="K910" s="9">
        <v>0</v>
      </c>
      <c r="L910" s="9">
        <v>1</v>
      </c>
      <c r="M910" s="9">
        <v>1</v>
      </c>
      <c r="N910" s="9">
        <v>1</v>
      </c>
      <c r="O910" s="9">
        <v>0</v>
      </c>
      <c r="P910" s="9">
        <v>0</v>
      </c>
      <c r="Q910" s="9">
        <v>0</v>
      </c>
      <c r="R910" s="9">
        <v>1</v>
      </c>
      <c r="S910" s="1">
        <f t="shared" si="7"/>
        <v>6</v>
      </c>
    </row>
    <row r="911" spans="2:19" ht="13.2" x14ac:dyDescent="0.25">
      <c r="B911" s="109"/>
      <c r="C911" s="9">
        <v>2021</v>
      </c>
      <c r="D911" s="9">
        <v>1</v>
      </c>
      <c r="E911" s="9">
        <v>1</v>
      </c>
      <c r="F911" s="9">
        <v>0</v>
      </c>
      <c r="G911" s="9">
        <v>1</v>
      </c>
      <c r="H911" s="9">
        <v>1</v>
      </c>
      <c r="I911" s="9">
        <v>1</v>
      </c>
      <c r="J911" s="9">
        <v>1</v>
      </c>
      <c r="K911" s="9">
        <v>1</v>
      </c>
      <c r="L911" s="9">
        <v>0</v>
      </c>
      <c r="M911" s="9">
        <v>0</v>
      </c>
      <c r="N911" s="9">
        <v>0</v>
      </c>
      <c r="O911" s="9">
        <v>1</v>
      </c>
      <c r="P911" s="9">
        <v>0</v>
      </c>
      <c r="Q911" s="9">
        <v>1</v>
      </c>
      <c r="R911" s="9">
        <v>0</v>
      </c>
      <c r="S911" s="1">
        <f t="shared" si="7"/>
        <v>9</v>
      </c>
    </row>
    <row r="912" spans="2:19" ht="13.2" x14ac:dyDescent="0.25">
      <c r="B912" s="110"/>
      <c r="C912" s="9">
        <v>2022</v>
      </c>
      <c r="D912" s="9">
        <v>1</v>
      </c>
      <c r="E912" s="9">
        <v>1</v>
      </c>
      <c r="F912" s="9">
        <v>1</v>
      </c>
      <c r="G912" s="9">
        <v>0</v>
      </c>
      <c r="H912" s="9">
        <v>1</v>
      </c>
      <c r="I912" s="9">
        <v>0</v>
      </c>
      <c r="J912" s="9">
        <v>1</v>
      </c>
      <c r="K912" s="9">
        <v>0</v>
      </c>
      <c r="L912" s="9">
        <v>1</v>
      </c>
      <c r="M912" s="9">
        <v>0</v>
      </c>
      <c r="N912" s="9">
        <v>1</v>
      </c>
      <c r="O912" s="9">
        <v>0</v>
      </c>
      <c r="P912" s="9">
        <v>0</v>
      </c>
      <c r="Q912" s="9">
        <v>0</v>
      </c>
      <c r="R912" s="9">
        <v>0</v>
      </c>
      <c r="S912" s="1">
        <f t="shared" si="7"/>
        <v>7</v>
      </c>
    </row>
    <row r="913" spans="2:19" ht="13.2" x14ac:dyDescent="0.25">
      <c r="B913" s="108" t="s">
        <v>176</v>
      </c>
      <c r="C913" s="9">
        <v>2018</v>
      </c>
      <c r="D913" s="9">
        <v>1</v>
      </c>
      <c r="E913" s="9">
        <v>1</v>
      </c>
      <c r="F913" s="9">
        <v>0</v>
      </c>
      <c r="G913" s="9">
        <v>1</v>
      </c>
      <c r="H913" s="9">
        <v>1</v>
      </c>
      <c r="I913" s="9">
        <v>0</v>
      </c>
      <c r="J913" s="9">
        <v>0</v>
      </c>
      <c r="K913" s="9">
        <v>1</v>
      </c>
      <c r="L913" s="9">
        <v>0</v>
      </c>
      <c r="M913" s="9">
        <v>0</v>
      </c>
      <c r="N913" s="9">
        <v>1</v>
      </c>
      <c r="O913" s="9">
        <v>0</v>
      </c>
      <c r="P913" s="9">
        <v>0</v>
      </c>
      <c r="Q913" s="9">
        <v>1</v>
      </c>
      <c r="R913" s="9">
        <v>0</v>
      </c>
      <c r="S913" s="1">
        <f t="shared" si="7"/>
        <v>7</v>
      </c>
    </row>
    <row r="914" spans="2:19" ht="13.2" x14ac:dyDescent="0.25">
      <c r="B914" s="109"/>
      <c r="C914" s="9">
        <v>2019</v>
      </c>
      <c r="D914" s="9">
        <v>0</v>
      </c>
      <c r="E914" s="9">
        <v>1</v>
      </c>
      <c r="F914" s="9">
        <v>1</v>
      </c>
      <c r="G914" s="9">
        <v>0</v>
      </c>
      <c r="H914" s="9">
        <v>0</v>
      </c>
      <c r="I914" s="9">
        <v>1</v>
      </c>
      <c r="J914" s="9">
        <v>1</v>
      </c>
      <c r="K914" s="9">
        <v>1</v>
      </c>
      <c r="L914" s="9">
        <v>0</v>
      </c>
      <c r="M914" s="9">
        <v>1</v>
      </c>
      <c r="N914" s="9">
        <v>1</v>
      </c>
      <c r="O914" s="9">
        <v>1</v>
      </c>
      <c r="P914" s="9">
        <v>1</v>
      </c>
      <c r="Q914" s="9">
        <v>0</v>
      </c>
      <c r="R914" s="9">
        <v>1</v>
      </c>
      <c r="S914" s="1">
        <f t="shared" si="7"/>
        <v>10</v>
      </c>
    </row>
    <row r="915" spans="2:19" ht="13.2" x14ac:dyDescent="0.25">
      <c r="B915" s="109"/>
      <c r="C915" s="9">
        <v>2020</v>
      </c>
      <c r="D915" s="9">
        <v>1</v>
      </c>
      <c r="E915" s="9">
        <v>0</v>
      </c>
      <c r="F915" s="9">
        <v>0</v>
      </c>
      <c r="G915" s="9">
        <v>0</v>
      </c>
      <c r="H915" s="9">
        <v>0</v>
      </c>
      <c r="I915" s="9">
        <v>1</v>
      </c>
      <c r="J915" s="9">
        <v>1</v>
      </c>
      <c r="K915" s="9">
        <v>0</v>
      </c>
      <c r="L915" s="9">
        <v>1</v>
      </c>
      <c r="M915" s="9">
        <v>0</v>
      </c>
      <c r="N915" s="9">
        <v>1</v>
      </c>
      <c r="O915" s="9">
        <v>0</v>
      </c>
      <c r="P915" s="9">
        <v>0</v>
      </c>
      <c r="Q915" s="9">
        <v>0</v>
      </c>
      <c r="R915" s="9">
        <v>1</v>
      </c>
      <c r="S915" s="1">
        <f t="shared" si="7"/>
        <v>6</v>
      </c>
    </row>
    <row r="916" spans="2:19" ht="13.2" x14ac:dyDescent="0.25">
      <c r="B916" s="109"/>
      <c r="C916" s="9">
        <v>2021</v>
      </c>
      <c r="D916" s="9">
        <v>0</v>
      </c>
      <c r="E916" s="9">
        <v>1</v>
      </c>
      <c r="F916" s="9">
        <v>0</v>
      </c>
      <c r="G916" s="9">
        <v>1</v>
      </c>
      <c r="H916" s="9">
        <v>1</v>
      </c>
      <c r="I916" s="9">
        <v>0</v>
      </c>
      <c r="J916" s="9">
        <v>1</v>
      </c>
      <c r="K916" s="9">
        <v>1</v>
      </c>
      <c r="L916" s="9">
        <v>1</v>
      </c>
      <c r="M916" s="9">
        <v>0</v>
      </c>
      <c r="N916" s="9">
        <v>1</v>
      </c>
      <c r="O916" s="9">
        <v>0</v>
      </c>
      <c r="P916" s="9">
        <v>0</v>
      </c>
      <c r="Q916" s="9">
        <v>0</v>
      </c>
      <c r="R916" s="9">
        <v>0</v>
      </c>
      <c r="S916" s="1">
        <f t="shared" si="7"/>
        <v>7</v>
      </c>
    </row>
    <row r="917" spans="2:19" ht="13.2" x14ac:dyDescent="0.25">
      <c r="B917" s="110"/>
      <c r="C917" s="9">
        <v>2022</v>
      </c>
      <c r="D917" s="9">
        <v>0</v>
      </c>
      <c r="E917" s="9">
        <v>0</v>
      </c>
      <c r="F917" s="9">
        <v>1</v>
      </c>
      <c r="G917" s="9">
        <v>1</v>
      </c>
      <c r="H917" s="9">
        <v>1</v>
      </c>
      <c r="I917" s="9">
        <v>0</v>
      </c>
      <c r="J917" s="9">
        <v>1</v>
      </c>
      <c r="K917" s="9">
        <v>1</v>
      </c>
      <c r="L917" s="9">
        <v>1</v>
      </c>
      <c r="M917" s="9">
        <v>1</v>
      </c>
      <c r="N917" s="9">
        <v>0</v>
      </c>
      <c r="O917" s="9">
        <v>1</v>
      </c>
      <c r="P917" s="9">
        <v>1</v>
      </c>
      <c r="Q917" s="9">
        <v>1</v>
      </c>
      <c r="R917" s="9">
        <v>1</v>
      </c>
      <c r="S917" s="1">
        <f t="shared" si="7"/>
        <v>11</v>
      </c>
    </row>
    <row r="918" spans="2:19" ht="13.2" x14ac:dyDescent="0.25">
      <c r="B918" s="108" t="s">
        <v>177</v>
      </c>
      <c r="C918" s="9">
        <v>2018</v>
      </c>
      <c r="D918" s="9">
        <v>0</v>
      </c>
      <c r="E918" s="9">
        <v>0</v>
      </c>
      <c r="F918" s="9">
        <v>1</v>
      </c>
      <c r="G918" s="9">
        <v>0</v>
      </c>
      <c r="H918" s="9">
        <v>1</v>
      </c>
      <c r="I918" s="9">
        <v>0</v>
      </c>
      <c r="J918" s="9">
        <v>1</v>
      </c>
      <c r="K918" s="9">
        <v>0</v>
      </c>
      <c r="L918" s="9">
        <v>0</v>
      </c>
      <c r="M918" s="9">
        <v>0</v>
      </c>
      <c r="N918" s="9">
        <v>1</v>
      </c>
      <c r="O918" s="9">
        <v>0</v>
      </c>
      <c r="P918" s="9">
        <v>0</v>
      </c>
      <c r="Q918" s="9">
        <v>1</v>
      </c>
      <c r="R918" s="9">
        <v>1</v>
      </c>
      <c r="S918" s="1">
        <f t="shared" si="7"/>
        <v>6</v>
      </c>
    </row>
    <row r="919" spans="2:19" ht="13.2" x14ac:dyDescent="0.25">
      <c r="B919" s="109"/>
      <c r="C919" s="9">
        <v>2019</v>
      </c>
      <c r="D919" s="9">
        <v>0</v>
      </c>
      <c r="E919" s="9">
        <v>0</v>
      </c>
      <c r="F919" s="9">
        <v>0</v>
      </c>
      <c r="G919" s="9">
        <v>0</v>
      </c>
      <c r="H919" s="9">
        <v>1</v>
      </c>
      <c r="I919" s="9">
        <v>1</v>
      </c>
      <c r="J919" s="9">
        <v>1</v>
      </c>
      <c r="K919" s="9">
        <v>0</v>
      </c>
      <c r="L919" s="9">
        <v>0</v>
      </c>
      <c r="M919" s="9">
        <v>0</v>
      </c>
      <c r="N919" s="9">
        <v>0</v>
      </c>
      <c r="O919" s="9">
        <v>1</v>
      </c>
      <c r="P919" s="9">
        <v>1</v>
      </c>
      <c r="Q919" s="9">
        <v>0</v>
      </c>
      <c r="R919" s="9">
        <v>1</v>
      </c>
      <c r="S919" s="1">
        <f t="shared" si="7"/>
        <v>6</v>
      </c>
    </row>
    <row r="920" spans="2:19" ht="13.2" x14ac:dyDescent="0.25">
      <c r="B920" s="109"/>
      <c r="C920" s="9">
        <v>2020</v>
      </c>
      <c r="D920" s="9">
        <v>1</v>
      </c>
      <c r="E920" s="9">
        <v>1</v>
      </c>
      <c r="F920" s="9">
        <v>1</v>
      </c>
      <c r="G920" s="9">
        <v>0</v>
      </c>
      <c r="H920" s="9">
        <v>0</v>
      </c>
      <c r="I920" s="9">
        <v>1</v>
      </c>
      <c r="J920" s="9">
        <v>1</v>
      </c>
      <c r="K920" s="9">
        <v>1</v>
      </c>
      <c r="L920" s="9">
        <v>1</v>
      </c>
      <c r="M920" s="9">
        <v>0</v>
      </c>
      <c r="N920" s="9">
        <v>1</v>
      </c>
      <c r="O920" s="9">
        <v>0</v>
      </c>
      <c r="P920" s="9">
        <v>0</v>
      </c>
      <c r="Q920" s="9">
        <v>1</v>
      </c>
      <c r="R920" s="9">
        <v>1</v>
      </c>
      <c r="S920" s="1">
        <f t="shared" si="7"/>
        <v>10</v>
      </c>
    </row>
    <row r="921" spans="2:19" ht="13.2" x14ac:dyDescent="0.25">
      <c r="B921" s="109"/>
      <c r="C921" s="9">
        <v>2021</v>
      </c>
      <c r="D921" s="9">
        <v>1</v>
      </c>
      <c r="E921" s="9">
        <v>0</v>
      </c>
      <c r="F921" s="9">
        <v>1</v>
      </c>
      <c r="G921" s="9">
        <v>0</v>
      </c>
      <c r="H921" s="9">
        <v>1</v>
      </c>
      <c r="I921" s="9">
        <v>1</v>
      </c>
      <c r="J921" s="9">
        <v>1</v>
      </c>
      <c r="K921" s="9">
        <v>1</v>
      </c>
      <c r="L921" s="9">
        <v>0</v>
      </c>
      <c r="M921" s="9">
        <v>0</v>
      </c>
      <c r="N921" s="9">
        <v>0</v>
      </c>
      <c r="O921" s="9">
        <v>0</v>
      </c>
      <c r="P921" s="9">
        <v>0</v>
      </c>
      <c r="Q921" s="9">
        <v>1</v>
      </c>
      <c r="R921" s="9">
        <v>1</v>
      </c>
      <c r="S921" s="1">
        <f t="shared" si="7"/>
        <v>8</v>
      </c>
    </row>
    <row r="922" spans="2:19" ht="13.2" x14ac:dyDescent="0.25">
      <c r="B922" s="110"/>
      <c r="C922" s="9">
        <v>2022</v>
      </c>
      <c r="D922" s="9">
        <v>0</v>
      </c>
      <c r="E922" s="9">
        <v>1</v>
      </c>
      <c r="F922" s="9">
        <v>0</v>
      </c>
      <c r="G922" s="9">
        <v>0</v>
      </c>
      <c r="H922" s="9">
        <v>1</v>
      </c>
      <c r="I922" s="9">
        <v>0</v>
      </c>
      <c r="J922" s="9">
        <v>1</v>
      </c>
      <c r="K922" s="9">
        <v>1</v>
      </c>
      <c r="L922" s="9">
        <v>0</v>
      </c>
      <c r="M922" s="9">
        <v>0</v>
      </c>
      <c r="N922" s="9">
        <v>1</v>
      </c>
      <c r="O922" s="9">
        <v>1</v>
      </c>
      <c r="P922" s="9">
        <v>0</v>
      </c>
      <c r="Q922" s="9">
        <v>0</v>
      </c>
      <c r="R922" s="9">
        <v>0</v>
      </c>
      <c r="S922" s="1">
        <f t="shared" si="7"/>
        <v>6</v>
      </c>
    </row>
    <row r="923" spans="2:19" ht="13.2" x14ac:dyDescent="0.25">
      <c r="B923" s="108" t="s">
        <v>178</v>
      </c>
      <c r="C923" s="9">
        <v>2018</v>
      </c>
      <c r="D923" s="9">
        <v>1</v>
      </c>
      <c r="E923" s="9">
        <v>1</v>
      </c>
      <c r="F923" s="9">
        <v>0</v>
      </c>
      <c r="G923" s="9">
        <v>0</v>
      </c>
      <c r="H923" s="9">
        <v>1</v>
      </c>
      <c r="I923" s="9">
        <v>1</v>
      </c>
      <c r="J923" s="9">
        <v>0</v>
      </c>
      <c r="K923" s="9">
        <v>1</v>
      </c>
      <c r="L923" s="9">
        <v>0</v>
      </c>
      <c r="M923" s="9">
        <v>1</v>
      </c>
      <c r="N923" s="9">
        <v>1</v>
      </c>
      <c r="O923" s="9">
        <v>1</v>
      </c>
      <c r="P923" s="9">
        <v>0</v>
      </c>
      <c r="Q923" s="9">
        <v>1</v>
      </c>
      <c r="R923" s="9">
        <v>1</v>
      </c>
      <c r="S923" s="1">
        <f t="shared" si="7"/>
        <v>10</v>
      </c>
    </row>
    <row r="924" spans="2:19" ht="13.2" x14ac:dyDescent="0.25">
      <c r="B924" s="109"/>
      <c r="C924" s="9">
        <v>2019</v>
      </c>
      <c r="D924" s="9">
        <v>1</v>
      </c>
      <c r="E924" s="9">
        <v>0</v>
      </c>
      <c r="F924" s="9">
        <v>1</v>
      </c>
      <c r="G924" s="9">
        <v>1</v>
      </c>
      <c r="H924" s="9">
        <v>0</v>
      </c>
      <c r="I924" s="9">
        <v>1</v>
      </c>
      <c r="J924" s="9">
        <v>0</v>
      </c>
      <c r="K924" s="9">
        <v>0</v>
      </c>
      <c r="L924" s="9">
        <v>1</v>
      </c>
      <c r="M924" s="9">
        <v>0</v>
      </c>
      <c r="N924" s="9">
        <v>1</v>
      </c>
      <c r="O924" s="9">
        <v>0</v>
      </c>
      <c r="P924" s="9">
        <v>1</v>
      </c>
      <c r="Q924" s="9">
        <v>1</v>
      </c>
      <c r="R924" s="9">
        <v>1</v>
      </c>
      <c r="S924" s="1">
        <f t="shared" si="7"/>
        <v>9</v>
      </c>
    </row>
    <row r="925" spans="2:19" ht="13.2" x14ac:dyDescent="0.25">
      <c r="B925" s="109"/>
      <c r="C925" s="9">
        <v>2020</v>
      </c>
      <c r="D925" s="9">
        <v>1</v>
      </c>
      <c r="E925" s="9">
        <v>0</v>
      </c>
      <c r="F925" s="9">
        <v>0</v>
      </c>
      <c r="G925" s="9">
        <v>1</v>
      </c>
      <c r="H925" s="9">
        <v>1</v>
      </c>
      <c r="I925" s="9">
        <v>1</v>
      </c>
      <c r="J925" s="9">
        <v>0</v>
      </c>
      <c r="K925" s="9">
        <v>0</v>
      </c>
      <c r="L925" s="9">
        <v>0</v>
      </c>
      <c r="M925" s="9">
        <v>0</v>
      </c>
      <c r="N925" s="9">
        <v>0</v>
      </c>
      <c r="O925" s="9">
        <v>0</v>
      </c>
      <c r="P925" s="9">
        <v>1</v>
      </c>
      <c r="Q925" s="9">
        <v>0</v>
      </c>
      <c r="R925" s="9">
        <v>0</v>
      </c>
      <c r="S925" s="1">
        <f t="shared" si="7"/>
        <v>5</v>
      </c>
    </row>
    <row r="926" spans="2:19" ht="13.2" x14ac:dyDescent="0.25">
      <c r="B926" s="109"/>
      <c r="C926" s="9">
        <v>2021</v>
      </c>
      <c r="D926" s="9">
        <v>1</v>
      </c>
      <c r="E926" s="9">
        <v>0</v>
      </c>
      <c r="F926" s="9">
        <v>0</v>
      </c>
      <c r="G926" s="9">
        <v>0</v>
      </c>
      <c r="H926" s="9">
        <v>1</v>
      </c>
      <c r="I926" s="9">
        <v>1</v>
      </c>
      <c r="J926" s="9">
        <v>0</v>
      </c>
      <c r="K926" s="9">
        <v>0</v>
      </c>
      <c r="L926" s="9">
        <v>0</v>
      </c>
      <c r="M926" s="9">
        <v>0</v>
      </c>
      <c r="N926" s="9">
        <v>0</v>
      </c>
      <c r="O926" s="9">
        <v>1</v>
      </c>
      <c r="P926" s="9">
        <v>0</v>
      </c>
      <c r="Q926" s="9">
        <v>0</v>
      </c>
      <c r="R926" s="9">
        <v>1</v>
      </c>
      <c r="S926" s="1">
        <f t="shared" si="7"/>
        <v>5</v>
      </c>
    </row>
    <row r="927" spans="2:19" ht="13.2" x14ac:dyDescent="0.25">
      <c r="B927" s="110"/>
      <c r="C927" s="9">
        <v>2022</v>
      </c>
      <c r="D927" s="9">
        <v>0</v>
      </c>
      <c r="E927" s="9">
        <v>0</v>
      </c>
      <c r="F927" s="9">
        <v>0</v>
      </c>
      <c r="G927" s="9">
        <v>1</v>
      </c>
      <c r="H927" s="9">
        <v>1</v>
      </c>
      <c r="I927" s="9">
        <v>0</v>
      </c>
      <c r="J927" s="9">
        <v>0</v>
      </c>
      <c r="K927" s="9">
        <v>1</v>
      </c>
      <c r="L927" s="9">
        <v>1</v>
      </c>
      <c r="M927" s="9">
        <v>1</v>
      </c>
      <c r="N927" s="9">
        <v>0</v>
      </c>
      <c r="O927" s="9">
        <v>1</v>
      </c>
      <c r="P927" s="9">
        <v>1</v>
      </c>
      <c r="Q927" s="9">
        <v>1</v>
      </c>
      <c r="R927" s="9">
        <v>0</v>
      </c>
      <c r="S927" s="1">
        <f t="shared" si="7"/>
        <v>8</v>
      </c>
    </row>
    <row r="928" spans="2:19" ht="13.2" x14ac:dyDescent="0.25">
      <c r="B928" s="108" t="s">
        <v>179</v>
      </c>
      <c r="C928" s="9">
        <v>2018</v>
      </c>
      <c r="D928" s="9">
        <v>0</v>
      </c>
      <c r="E928" s="9">
        <v>1</v>
      </c>
      <c r="F928" s="9">
        <v>1</v>
      </c>
      <c r="G928" s="9">
        <v>0</v>
      </c>
      <c r="H928" s="9">
        <v>1</v>
      </c>
      <c r="I928" s="9">
        <v>1</v>
      </c>
      <c r="J928" s="9">
        <v>1</v>
      </c>
      <c r="K928" s="9">
        <v>0</v>
      </c>
      <c r="L928" s="9">
        <v>0</v>
      </c>
      <c r="M928" s="9">
        <v>1</v>
      </c>
      <c r="N928" s="9">
        <v>0</v>
      </c>
      <c r="O928" s="9">
        <v>1</v>
      </c>
      <c r="P928" s="9">
        <v>1</v>
      </c>
      <c r="Q928" s="9">
        <v>1</v>
      </c>
      <c r="R928" s="9">
        <v>0</v>
      </c>
      <c r="S928" s="1">
        <f t="shared" si="7"/>
        <v>9</v>
      </c>
    </row>
    <row r="929" spans="2:19" ht="13.2" x14ac:dyDescent="0.25">
      <c r="B929" s="109"/>
      <c r="C929" s="9">
        <v>2019</v>
      </c>
      <c r="D929" s="9">
        <v>0</v>
      </c>
      <c r="E929" s="9">
        <v>0</v>
      </c>
      <c r="F929" s="9">
        <v>1</v>
      </c>
      <c r="G929" s="9">
        <v>1</v>
      </c>
      <c r="H929" s="9">
        <v>1</v>
      </c>
      <c r="I929" s="9">
        <v>0</v>
      </c>
      <c r="J929" s="9">
        <v>1</v>
      </c>
      <c r="K929" s="9">
        <v>0</v>
      </c>
      <c r="L929" s="9">
        <v>0</v>
      </c>
      <c r="M929" s="9">
        <v>1</v>
      </c>
      <c r="N929" s="9">
        <v>1</v>
      </c>
      <c r="O929" s="9">
        <v>1</v>
      </c>
      <c r="P929" s="9">
        <v>0</v>
      </c>
      <c r="Q929" s="9">
        <v>1</v>
      </c>
      <c r="R929" s="9">
        <v>0</v>
      </c>
      <c r="S929" s="1">
        <f t="shared" si="7"/>
        <v>8</v>
      </c>
    </row>
    <row r="930" spans="2:19" ht="13.2" x14ac:dyDescent="0.25">
      <c r="B930" s="109"/>
      <c r="C930" s="9">
        <v>2020</v>
      </c>
      <c r="D930" s="9">
        <v>0</v>
      </c>
      <c r="E930" s="9">
        <v>0</v>
      </c>
      <c r="F930" s="9">
        <v>1</v>
      </c>
      <c r="G930" s="9">
        <v>1</v>
      </c>
      <c r="H930" s="9">
        <v>1</v>
      </c>
      <c r="I930" s="9">
        <v>1</v>
      </c>
      <c r="J930" s="9">
        <v>0</v>
      </c>
      <c r="K930" s="9">
        <v>1</v>
      </c>
      <c r="L930" s="9">
        <v>1</v>
      </c>
      <c r="M930" s="9">
        <v>0</v>
      </c>
      <c r="N930" s="9">
        <v>0</v>
      </c>
      <c r="O930" s="9">
        <v>0</v>
      </c>
      <c r="P930" s="9">
        <v>1</v>
      </c>
      <c r="Q930" s="9">
        <v>1</v>
      </c>
      <c r="R930" s="9">
        <v>0</v>
      </c>
      <c r="S930" s="1">
        <f t="shared" si="7"/>
        <v>8</v>
      </c>
    </row>
    <row r="931" spans="2:19" ht="13.2" x14ac:dyDescent="0.25">
      <c r="B931" s="109"/>
      <c r="C931" s="9">
        <v>2021</v>
      </c>
      <c r="D931" s="9">
        <v>1</v>
      </c>
      <c r="E931" s="9">
        <v>0</v>
      </c>
      <c r="F931" s="9">
        <v>0</v>
      </c>
      <c r="G931" s="9">
        <v>1</v>
      </c>
      <c r="H931" s="9">
        <v>1</v>
      </c>
      <c r="I931" s="9">
        <v>0</v>
      </c>
      <c r="J931" s="9">
        <v>0</v>
      </c>
      <c r="K931" s="9">
        <v>0</v>
      </c>
      <c r="L931" s="9">
        <v>1</v>
      </c>
      <c r="M931" s="9">
        <v>0</v>
      </c>
      <c r="N931" s="9">
        <v>0</v>
      </c>
      <c r="O931" s="9">
        <v>0</v>
      </c>
      <c r="P931" s="9">
        <v>0</v>
      </c>
      <c r="Q931" s="9">
        <v>0</v>
      </c>
      <c r="R931" s="9">
        <v>0</v>
      </c>
      <c r="S931" s="1">
        <f t="shared" si="7"/>
        <v>4</v>
      </c>
    </row>
    <row r="932" spans="2:19" ht="13.2" x14ac:dyDescent="0.25">
      <c r="B932" s="110"/>
      <c r="C932" s="9">
        <v>2022</v>
      </c>
      <c r="D932" s="9">
        <v>1</v>
      </c>
      <c r="E932" s="9">
        <v>1</v>
      </c>
      <c r="F932" s="9">
        <v>1</v>
      </c>
      <c r="G932" s="9">
        <v>1</v>
      </c>
      <c r="H932" s="9">
        <v>0</v>
      </c>
      <c r="I932" s="9">
        <v>1</v>
      </c>
      <c r="J932" s="9">
        <v>0</v>
      </c>
      <c r="K932" s="9">
        <v>0</v>
      </c>
      <c r="L932" s="9">
        <v>1</v>
      </c>
      <c r="M932" s="9">
        <v>0</v>
      </c>
      <c r="N932" s="9">
        <v>0</v>
      </c>
      <c r="O932" s="9">
        <v>0</v>
      </c>
      <c r="P932" s="9">
        <v>0</v>
      </c>
      <c r="Q932" s="9">
        <v>0</v>
      </c>
      <c r="R932" s="9">
        <v>1</v>
      </c>
      <c r="S932" s="1">
        <f t="shared" si="7"/>
        <v>7</v>
      </c>
    </row>
    <row r="933" spans="2:19" ht="13.2" x14ac:dyDescent="0.25">
      <c r="B933" s="108" t="s">
        <v>180</v>
      </c>
      <c r="C933" s="9">
        <v>2018</v>
      </c>
      <c r="D933" s="9">
        <v>0</v>
      </c>
      <c r="E933" s="9">
        <v>1</v>
      </c>
      <c r="F933" s="9">
        <v>1</v>
      </c>
      <c r="G933" s="9">
        <v>0</v>
      </c>
      <c r="H933" s="9">
        <v>1</v>
      </c>
      <c r="I933" s="9">
        <v>0</v>
      </c>
      <c r="J933" s="9">
        <v>1</v>
      </c>
      <c r="K933" s="9">
        <v>1</v>
      </c>
      <c r="L933" s="9">
        <v>0</v>
      </c>
      <c r="M933" s="9">
        <v>1</v>
      </c>
      <c r="N933" s="9">
        <v>0</v>
      </c>
      <c r="O933" s="9">
        <v>0</v>
      </c>
      <c r="P933" s="9">
        <v>0</v>
      </c>
      <c r="Q933" s="9">
        <v>0</v>
      </c>
      <c r="R933" s="9">
        <v>1</v>
      </c>
      <c r="S933" s="1">
        <f t="shared" si="7"/>
        <v>7</v>
      </c>
    </row>
    <row r="934" spans="2:19" ht="13.2" x14ac:dyDescent="0.25">
      <c r="B934" s="109"/>
      <c r="C934" s="9">
        <v>2019</v>
      </c>
      <c r="D934" s="9">
        <v>1</v>
      </c>
      <c r="E934" s="9">
        <v>1</v>
      </c>
      <c r="F934" s="9">
        <v>0</v>
      </c>
      <c r="G934" s="9">
        <v>0</v>
      </c>
      <c r="H934" s="9">
        <v>0</v>
      </c>
      <c r="I934" s="9">
        <v>0</v>
      </c>
      <c r="J934" s="9">
        <v>1</v>
      </c>
      <c r="K934" s="9">
        <v>0</v>
      </c>
      <c r="L934" s="9">
        <v>1</v>
      </c>
      <c r="M934" s="9">
        <v>1</v>
      </c>
      <c r="N934" s="9">
        <v>1</v>
      </c>
      <c r="O934" s="9">
        <v>1</v>
      </c>
      <c r="P934" s="9">
        <v>1</v>
      </c>
      <c r="Q934" s="9">
        <v>1</v>
      </c>
      <c r="R934" s="9">
        <v>1</v>
      </c>
      <c r="S934" s="1">
        <f t="shared" si="7"/>
        <v>10</v>
      </c>
    </row>
    <row r="935" spans="2:19" ht="13.2" x14ac:dyDescent="0.25">
      <c r="B935" s="109"/>
      <c r="C935" s="9">
        <v>2020</v>
      </c>
      <c r="D935" s="9">
        <v>1</v>
      </c>
      <c r="E935" s="9">
        <v>1</v>
      </c>
      <c r="F935" s="9">
        <v>1</v>
      </c>
      <c r="G935" s="9">
        <v>1</v>
      </c>
      <c r="H935" s="9">
        <v>1</v>
      </c>
      <c r="I935" s="9">
        <v>0</v>
      </c>
      <c r="J935" s="9">
        <v>1</v>
      </c>
      <c r="K935" s="9">
        <v>1</v>
      </c>
      <c r="L935" s="9">
        <v>0</v>
      </c>
      <c r="M935" s="9">
        <v>0</v>
      </c>
      <c r="N935" s="9">
        <v>0</v>
      </c>
      <c r="O935" s="9">
        <v>0</v>
      </c>
      <c r="P935" s="9">
        <v>0</v>
      </c>
      <c r="Q935" s="9">
        <v>1</v>
      </c>
      <c r="R935" s="9">
        <v>1</v>
      </c>
      <c r="S935" s="1">
        <f t="shared" si="7"/>
        <v>9</v>
      </c>
    </row>
    <row r="936" spans="2:19" ht="13.2" x14ac:dyDescent="0.25">
      <c r="B936" s="109"/>
      <c r="C936" s="9">
        <v>2021</v>
      </c>
      <c r="D936" s="9">
        <v>0</v>
      </c>
      <c r="E936" s="9">
        <v>1</v>
      </c>
      <c r="F936" s="9">
        <v>0</v>
      </c>
      <c r="G936" s="9">
        <v>1</v>
      </c>
      <c r="H936" s="9">
        <v>1</v>
      </c>
      <c r="I936" s="9">
        <v>0</v>
      </c>
      <c r="J936" s="9">
        <v>0</v>
      </c>
      <c r="K936" s="9">
        <v>0</v>
      </c>
      <c r="L936" s="9">
        <v>0</v>
      </c>
      <c r="M936" s="9">
        <v>1</v>
      </c>
      <c r="N936" s="9">
        <v>1</v>
      </c>
      <c r="O936" s="9">
        <v>0</v>
      </c>
      <c r="P936" s="9">
        <v>1</v>
      </c>
      <c r="Q936" s="9">
        <v>0</v>
      </c>
      <c r="R936" s="9">
        <v>0</v>
      </c>
      <c r="S936" s="1">
        <f t="shared" si="7"/>
        <v>6</v>
      </c>
    </row>
    <row r="937" spans="2:19" ht="13.2" x14ac:dyDescent="0.25">
      <c r="B937" s="110"/>
      <c r="C937" s="9">
        <v>2022</v>
      </c>
      <c r="D937" s="9">
        <v>1</v>
      </c>
      <c r="E937" s="9">
        <v>1</v>
      </c>
      <c r="F937" s="9">
        <v>0</v>
      </c>
      <c r="G937" s="9">
        <v>0</v>
      </c>
      <c r="H937" s="9">
        <v>1</v>
      </c>
      <c r="I937" s="9">
        <v>1</v>
      </c>
      <c r="J937" s="9">
        <v>1</v>
      </c>
      <c r="K937" s="9">
        <v>0</v>
      </c>
      <c r="L937" s="9">
        <v>1</v>
      </c>
      <c r="M937" s="9">
        <v>0</v>
      </c>
      <c r="N937" s="9">
        <v>1</v>
      </c>
      <c r="O937" s="9">
        <v>1</v>
      </c>
      <c r="P937" s="9">
        <v>1</v>
      </c>
      <c r="Q937" s="9">
        <v>1</v>
      </c>
      <c r="R937" s="9">
        <v>1</v>
      </c>
      <c r="S937" s="1">
        <f t="shared" si="7"/>
        <v>11</v>
      </c>
    </row>
    <row r="938" spans="2:19" ht="13.2" x14ac:dyDescent="0.25">
      <c r="B938" s="108" t="s">
        <v>181</v>
      </c>
      <c r="C938" s="9">
        <v>2018</v>
      </c>
      <c r="D938" s="9">
        <v>1</v>
      </c>
      <c r="E938" s="9">
        <v>1</v>
      </c>
      <c r="F938" s="9">
        <v>1</v>
      </c>
      <c r="G938" s="9">
        <v>0</v>
      </c>
      <c r="H938" s="9">
        <v>0</v>
      </c>
      <c r="I938" s="9">
        <v>0</v>
      </c>
      <c r="J938" s="9">
        <v>0</v>
      </c>
      <c r="K938" s="9">
        <v>1</v>
      </c>
      <c r="L938" s="9">
        <v>0</v>
      </c>
      <c r="M938" s="9">
        <v>0</v>
      </c>
      <c r="N938" s="9">
        <v>0</v>
      </c>
      <c r="O938" s="9">
        <v>0</v>
      </c>
      <c r="P938" s="9">
        <v>1</v>
      </c>
      <c r="Q938" s="9">
        <v>0</v>
      </c>
      <c r="R938" s="9">
        <v>0</v>
      </c>
      <c r="S938" s="1">
        <f t="shared" si="7"/>
        <v>5</v>
      </c>
    </row>
    <row r="939" spans="2:19" ht="13.2" x14ac:dyDescent="0.25">
      <c r="B939" s="109"/>
      <c r="C939" s="9">
        <v>2019</v>
      </c>
      <c r="D939" s="9">
        <v>1</v>
      </c>
      <c r="E939" s="9">
        <v>0</v>
      </c>
      <c r="F939" s="9">
        <v>0</v>
      </c>
      <c r="G939" s="9">
        <v>0</v>
      </c>
      <c r="H939" s="9">
        <v>1</v>
      </c>
      <c r="I939" s="9">
        <v>1</v>
      </c>
      <c r="J939" s="9">
        <v>0</v>
      </c>
      <c r="K939" s="9">
        <v>1</v>
      </c>
      <c r="L939" s="9">
        <v>0</v>
      </c>
      <c r="M939" s="9">
        <v>1</v>
      </c>
      <c r="N939" s="9">
        <v>1</v>
      </c>
      <c r="O939" s="9">
        <v>1</v>
      </c>
      <c r="P939" s="9">
        <v>1</v>
      </c>
      <c r="Q939" s="9">
        <v>1</v>
      </c>
      <c r="R939" s="9">
        <v>1</v>
      </c>
      <c r="S939" s="1">
        <f t="shared" si="7"/>
        <v>10</v>
      </c>
    </row>
    <row r="940" spans="2:19" ht="13.2" x14ac:dyDescent="0.25">
      <c r="B940" s="109"/>
      <c r="C940" s="9">
        <v>2020</v>
      </c>
      <c r="D940" s="9">
        <v>1</v>
      </c>
      <c r="E940" s="9">
        <v>1</v>
      </c>
      <c r="F940" s="9">
        <v>1</v>
      </c>
      <c r="G940" s="9">
        <v>1</v>
      </c>
      <c r="H940" s="9">
        <v>0</v>
      </c>
      <c r="I940" s="9">
        <v>1</v>
      </c>
      <c r="J940" s="9">
        <v>0</v>
      </c>
      <c r="K940" s="9">
        <v>0</v>
      </c>
      <c r="L940" s="9">
        <v>1</v>
      </c>
      <c r="M940" s="9">
        <v>1</v>
      </c>
      <c r="N940" s="9">
        <v>1</v>
      </c>
      <c r="O940" s="9">
        <v>0</v>
      </c>
      <c r="P940" s="9">
        <v>1</v>
      </c>
      <c r="Q940" s="9">
        <v>1</v>
      </c>
      <c r="R940" s="9">
        <v>0</v>
      </c>
      <c r="S940" s="1">
        <f t="shared" si="7"/>
        <v>10</v>
      </c>
    </row>
    <row r="941" spans="2:19" ht="13.2" x14ac:dyDescent="0.25">
      <c r="B941" s="109"/>
      <c r="C941" s="9">
        <v>2021</v>
      </c>
      <c r="D941" s="9">
        <v>1</v>
      </c>
      <c r="E941" s="9">
        <v>1</v>
      </c>
      <c r="F941" s="9">
        <v>0</v>
      </c>
      <c r="G941" s="9">
        <v>0</v>
      </c>
      <c r="H941" s="9">
        <v>1</v>
      </c>
      <c r="I941" s="9">
        <v>1</v>
      </c>
      <c r="J941" s="9">
        <v>1</v>
      </c>
      <c r="K941" s="9">
        <v>0</v>
      </c>
      <c r="L941" s="9">
        <v>0</v>
      </c>
      <c r="M941" s="9">
        <v>0</v>
      </c>
      <c r="N941" s="9">
        <v>0</v>
      </c>
      <c r="O941" s="9">
        <v>1</v>
      </c>
      <c r="P941" s="9">
        <v>1</v>
      </c>
      <c r="Q941" s="9">
        <v>0</v>
      </c>
      <c r="R941" s="9">
        <v>0</v>
      </c>
      <c r="S941" s="1">
        <f t="shared" si="7"/>
        <v>7</v>
      </c>
    </row>
    <row r="942" spans="2:19" ht="13.2" x14ac:dyDescent="0.25">
      <c r="B942" s="110"/>
      <c r="C942" s="9">
        <v>2022</v>
      </c>
      <c r="D942" s="9">
        <v>1</v>
      </c>
      <c r="E942" s="9">
        <v>0</v>
      </c>
      <c r="F942" s="9">
        <v>1</v>
      </c>
      <c r="G942" s="9">
        <v>0</v>
      </c>
      <c r="H942" s="9">
        <v>0</v>
      </c>
      <c r="I942" s="9">
        <v>1</v>
      </c>
      <c r="J942" s="9">
        <v>1</v>
      </c>
      <c r="K942" s="9">
        <v>1</v>
      </c>
      <c r="L942" s="9">
        <v>0</v>
      </c>
      <c r="M942" s="9">
        <v>1</v>
      </c>
      <c r="N942" s="9">
        <v>0</v>
      </c>
      <c r="O942" s="9">
        <v>0</v>
      </c>
      <c r="P942" s="9">
        <v>1</v>
      </c>
      <c r="Q942" s="9">
        <v>0</v>
      </c>
      <c r="R942" s="9">
        <v>0</v>
      </c>
      <c r="S942" s="1">
        <f t="shared" si="7"/>
        <v>7</v>
      </c>
    </row>
    <row r="943" spans="2:19" ht="13.2" x14ac:dyDescent="0.25">
      <c r="B943" s="108" t="s">
        <v>182</v>
      </c>
      <c r="C943" s="9">
        <v>2018</v>
      </c>
      <c r="D943" s="9">
        <v>0</v>
      </c>
      <c r="E943" s="9">
        <v>0</v>
      </c>
      <c r="F943" s="9">
        <v>0</v>
      </c>
      <c r="G943" s="9">
        <v>0</v>
      </c>
      <c r="H943" s="9">
        <v>1</v>
      </c>
      <c r="I943" s="9">
        <v>1</v>
      </c>
      <c r="J943" s="9">
        <v>0</v>
      </c>
      <c r="K943" s="9">
        <v>1</v>
      </c>
      <c r="L943" s="9">
        <v>1</v>
      </c>
      <c r="M943" s="9">
        <v>0</v>
      </c>
      <c r="N943" s="9">
        <v>1</v>
      </c>
      <c r="O943" s="9">
        <v>1</v>
      </c>
      <c r="P943" s="9">
        <v>1</v>
      </c>
      <c r="Q943" s="9">
        <v>0</v>
      </c>
      <c r="R943" s="9">
        <v>1</v>
      </c>
      <c r="S943" s="1">
        <f t="shared" si="7"/>
        <v>8</v>
      </c>
    </row>
    <row r="944" spans="2:19" ht="13.2" x14ac:dyDescent="0.25">
      <c r="B944" s="109"/>
      <c r="C944" s="9">
        <v>2019</v>
      </c>
      <c r="D944" s="9">
        <v>0</v>
      </c>
      <c r="E944" s="9">
        <v>0</v>
      </c>
      <c r="F944" s="9">
        <v>1</v>
      </c>
      <c r="G944" s="9">
        <v>1</v>
      </c>
      <c r="H944" s="9">
        <v>0</v>
      </c>
      <c r="I944" s="9">
        <v>0</v>
      </c>
      <c r="J944" s="9">
        <v>1</v>
      </c>
      <c r="K944" s="9">
        <v>0</v>
      </c>
      <c r="L944" s="9">
        <v>0</v>
      </c>
      <c r="M944" s="9">
        <v>1</v>
      </c>
      <c r="N944" s="9">
        <v>0</v>
      </c>
      <c r="O944" s="9">
        <v>1</v>
      </c>
      <c r="P944" s="9">
        <v>1</v>
      </c>
      <c r="Q944" s="9">
        <v>0</v>
      </c>
      <c r="R944" s="9">
        <v>0</v>
      </c>
      <c r="S944" s="1">
        <f t="shared" si="7"/>
        <v>6</v>
      </c>
    </row>
    <row r="945" spans="2:19" ht="13.2" x14ac:dyDescent="0.25">
      <c r="B945" s="109"/>
      <c r="C945" s="9">
        <v>2020</v>
      </c>
      <c r="D945" s="9">
        <v>1</v>
      </c>
      <c r="E945" s="9">
        <v>1</v>
      </c>
      <c r="F945" s="9">
        <v>0</v>
      </c>
      <c r="G945" s="9">
        <v>1</v>
      </c>
      <c r="H945" s="9">
        <v>1</v>
      </c>
      <c r="I945" s="9">
        <v>1</v>
      </c>
      <c r="J945" s="9">
        <v>0</v>
      </c>
      <c r="K945" s="9">
        <v>0</v>
      </c>
      <c r="L945" s="9">
        <v>0</v>
      </c>
      <c r="M945" s="9">
        <v>0</v>
      </c>
      <c r="N945" s="9">
        <v>0</v>
      </c>
      <c r="O945" s="9">
        <v>0</v>
      </c>
      <c r="P945" s="9">
        <v>0</v>
      </c>
      <c r="Q945" s="9">
        <v>1</v>
      </c>
      <c r="R945" s="9">
        <v>0</v>
      </c>
      <c r="S945" s="1">
        <f t="shared" si="7"/>
        <v>6</v>
      </c>
    </row>
    <row r="946" spans="2:19" ht="13.2" x14ac:dyDescent="0.25">
      <c r="B946" s="109"/>
      <c r="C946" s="9">
        <v>2021</v>
      </c>
      <c r="D946" s="9">
        <v>0</v>
      </c>
      <c r="E946" s="9">
        <v>1</v>
      </c>
      <c r="F946" s="9">
        <v>1</v>
      </c>
      <c r="G946" s="9">
        <v>0</v>
      </c>
      <c r="H946" s="9">
        <v>1</v>
      </c>
      <c r="I946" s="9">
        <v>0</v>
      </c>
      <c r="J946" s="9">
        <v>0</v>
      </c>
      <c r="K946" s="9">
        <v>0</v>
      </c>
      <c r="L946" s="9">
        <v>0</v>
      </c>
      <c r="M946" s="9">
        <v>0</v>
      </c>
      <c r="N946" s="9">
        <v>1</v>
      </c>
      <c r="O946" s="9">
        <v>1</v>
      </c>
      <c r="P946" s="9">
        <v>1</v>
      </c>
      <c r="Q946" s="9">
        <v>0</v>
      </c>
      <c r="R946" s="9">
        <v>0</v>
      </c>
      <c r="S946" s="1">
        <f t="shared" si="7"/>
        <v>6</v>
      </c>
    </row>
    <row r="947" spans="2:19" ht="13.2" x14ac:dyDescent="0.25">
      <c r="B947" s="110"/>
      <c r="C947" s="9">
        <v>2022</v>
      </c>
      <c r="D947" s="9">
        <v>0</v>
      </c>
      <c r="E947" s="9">
        <v>0</v>
      </c>
      <c r="F947" s="9">
        <v>0</v>
      </c>
      <c r="G947" s="9">
        <v>0</v>
      </c>
      <c r="H947" s="9">
        <v>1</v>
      </c>
      <c r="I947" s="9">
        <v>0</v>
      </c>
      <c r="J947" s="9">
        <v>1</v>
      </c>
      <c r="K947" s="9">
        <v>1</v>
      </c>
      <c r="L947" s="9">
        <v>0</v>
      </c>
      <c r="M947" s="9">
        <v>1</v>
      </c>
      <c r="N947" s="9">
        <v>1</v>
      </c>
      <c r="O947" s="9">
        <v>1</v>
      </c>
      <c r="P947" s="9">
        <v>0</v>
      </c>
      <c r="Q947" s="9">
        <v>1</v>
      </c>
      <c r="R947" s="9">
        <v>0</v>
      </c>
      <c r="S947" s="1">
        <f t="shared" si="7"/>
        <v>7</v>
      </c>
    </row>
    <row r="948" spans="2:19" ht="13.2" x14ac:dyDescent="0.25">
      <c r="B948" s="108" t="s">
        <v>183</v>
      </c>
      <c r="C948" s="9">
        <v>2018</v>
      </c>
      <c r="D948" s="9">
        <v>0</v>
      </c>
      <c r="E948" s="9">
        <v>1</v>
      </c>
      <c r="F948" s="9">
        <v>0</v>
      </c>
      <c r="G948" s="9">
        <v>1</v>
      </c>
      <c r="H948" s="9">
        <v>0</v>
      </c>
      <c r="I948" s="9">
        <v>0</v>
      </c>
      <c r="J948" s="9">
        <v>0</v>
      </c>
      <c r="K948" s="9">
        <v>1</v>
      </c>
      <c r="L948" s="9">
        <v>1</v>
      </c>
      <c r="M948" s="9">
        <v>1</v>
      </c>
      <c r="N948" s="9">
        <v>0</v>
      </c>
      <c r="O948" s="9">
        <v>0</v>
      </c>
      <c r="P948" s="9">
        <v>0</v>
      </c>
      <c r="Q948" s="9">
        <v>1</v>
      </c>
      <c r="R948" s="9">
        <v>0</v>
      </c>
      <c r="S948" s="1">
        <f t="shared" si="7"/>
        <v>6</v>
      </c>
    </row>
    <row r="949" spans="2:19" ht="13.2" x14ac:dyDescent="0.25">
      <c r="B949" s="109"/>
      <c r="C949" s="9">
        <v>2019</v>
      </c>
      <c r="D949" s="9">
        <v>1</v>
      </c>
      <c r="E949" s="9">
        <v>0</v>
      </c>
      <c r="F949" s="9">
        <v>1</v>
      </c>
      <c r="G949" s="9">
        <v>1</v>
      </c>
      <c r="H949" s="9">
        <v>1</v>
      </c>
      <c r="I949" s="9">
        <v>1</v>
      </c>
      <c r="J949" s="9">
        <v>0</v>
      </c>
      <c r="K949" s="9">
        <v>1</v>
      </c>
      <c r="L949" s="9">
        <v>0</v>
      </c>
      <c r="M949" s="9">
        <v>1</v>
      </c>
      <c r="N949" s="9">
        <v>1</v>
      </c>
      <c r="O949" s="9">
        <v>1</v>
      </c>
      <c r="P949" s="9">
        <v>1</v>
      </c>
      <c r="Q949" s="9">
        <v>1</v>
      </c>
      <c r="R949" s="9">
        <v>0</v>
      </c>
      <c r="S949" s="1">
        <f t="shared" si="7"/>
        <v>11</v>
      </c>
    </row>
    <row r="950" spans="2:19" ht="13.2" x14ac:dyDescent="0.25">
      <c r="B950" s="109"/>
      <c r="C950" s="9">
        <v>2020</v>
      </c>
      <c r="D950" s="9">
        <v>0</v>
      </c>
      <c r="E950" s="9">
        <v>0</v>
      </c>
      <c r="F950" s="9">
        <v>1</v>
      </c>
      <c r="G950" s="9">
        <v>1</v>
      </c>
      <c r="H950" s="9">
        <v>1</v>
      </c>
      <c r="I950" s="9">
        <v>1</v>
      </c>
      <c r="J950" s="9">
        <v>1</v>
      </c>
      <c r="K950" s="9">
        <v>1</v>
      </c>
      <c r="L950" s="9">
        <v>0</v>
      </c>
      <c r="M950" s="9">
        <v>1</v>
      </c>
      <c r="N950" s="9">
        <v>0</v>
      </c>
      <c r="O950" s="9">
        <v>1</v>
      </c>
      <c r="P950" s="9">
        <v>0</v>
      </c>
      <c r="Q950" s="9">
        <v>1</v>
      </c>
      <c r="R950" s="9">
        <v>1</v>
      </c>
      <c r="S950" s="1">
        <f t="shared" si="7"/>
        <v>10</v>
      </c>
    </row>
    <row r="951" spans="2:19" ht="13.2" x14ac:dyDescent="0.25">
      <c r="B951" s="109"/>
      <c r="C951" s="9">
        <v>2021</v>
      </c>
      <c r="D951" s="9">
        <v>1</v>
      </c>
      <c r="E951" s="9">
        <v>1</v>
      </c>
      <c r="F951" s="9">
        <v>0</v>
      </c>
      <c r="G951" s="9">
        <v>1</v>
      </c>
      <c r="H951" s="9">
        <v>0</v>
      </c>
      <c r="I951" s="9">
        <v>0</v>
      </c>
      <c r="J951" s="9">
        <v>1</v>
      </c>
      <c r="K951" s="9">
        <v>1</v>
      </c>
      <c r="L951" s="9">
        <v>1</v>
      </c>
      <c r="M951" s="9">
        <v>0</v>
      </c>
      <c r="N951" s="9">
        <v>0</v>
      </c>
      <c r="O951" s="9">
        <v>0</v>
      </c>
      <c r="P951" s="9">
        <v>1</v>
      </c>
      <c r="Q951" s="9">
        <v>0</v>
      </c>
      <c r="R951" s="9">
        <v>1</v>
      </c>
      <c r="S951" s="1">
        <f t="shared" si="7"/>
        <v>8</v>
      </c>
    </row>
    <row r="952" spans="2:19" ht="13.2" x14ac:dyDescent="0.25">
      <c r="B952" s="110"/>
      <c r="C952" s="9">
        <v>2022</v>
      </c>
      <c r="D952" s="9">
        <v>1</v>
      </c>
      <c r="E952" s="9">
        <v>1</v>
      </c>
      <c r="F952" s="9">
        <v>1</v>
      </c>
      <c r="G952" s="9">
        <v>1</v>
      </c>
      <c r="H952" s="9">
        <v>1</v>
      </c>
      <c r="I952" s="9">
        <v>1</v>
      </c>
      <c r="J952" s="9">
        <v>1</v>
      </c>
      <c r="K952" s="9">
        <v>0</v>
      </c>
      <c r="L952" s="9">
        <v>0</v>
      </c>
      <c r="M952" s="9">
        <v>0</v>
      </c>
      <c r="N952" s="9">
        <v>0</v>
      </c>
      <c r="O952" s="9">
        <v>1</v>
      </c>
      <c r="P952" s="9">
        <v>0</v>
      </c>
      <c r="Q952" s="9">
        <v>1</v>
      </c>
      <c r="R952" s="9">
        <v>0</v>
      </c>
      <c r="S952" s="1">
        <f t="shared" si="7"/>
        <v>9</v>
      </c>
    </row>
    <row r="953" spans="2:19" ht="13.2" x14ac:dyDescent="0.25">
      <c r="B953" s="108" t="s">
        <v>184</v>
      </c>
      <c r="C953" s="9">
        <v>2018</v>
      </c>
      <c r="D953" s="9">
        <v>1</v>
      </c>
      <c r="E953" s="9">
        <v>0</v>
      </c>
      <c r="F953" s="9">
        <v>1</v>
      </c>
      <c r="G953" s="9">
        <v>1</v>
      </c>
      <c r="H953" s="9">
        <v>1</v>
      </c>
      <c r="I953" s="9">
        <v>1</v>
      </c>
      <c r="J953" s="9">
        <v>0</v>
      </c>
      <c r="K953" s="9">
        <v>1</v>
      </c>
      <c r="L953" s="9">
        <v>1</v>
      </c>
      <c r="M953" s="9">
        <v>1</v>
      </c>
      <c r="N953" s="9">
        <v>0</v>
      </c>
      <c r="O953" s="9">
        <v>1</v>
      </c>
      <c r="P953" s="9">
        <v>0</v>
      </c>
      <c r="Q953" s="9">
        <v>1</v>
      </c>
      <c r="R953" s="9">
        <v>1</v>
      </c>
      <c r="S953" s="1">
        <f t="shared" si="7"/>
        <v>11</v>
      </c>
    </row>
    <row r="954" spans="2:19" ht="13.2" x14ac:dyDescent="0.25">
      <c r="B954" s="109"/>
      <c r="C954" s="9">
        <v>2019</v>
      </c>
      <c r="D954" s="9">
        <v>0</v>
      </c>
      <c r="E954" s="9">
        <v>0</v>
      </c>
      <c r="F954" s="9">
        <v>0</v>
      </c>
      <c r="G954" s="9">
        <v>0</v>
      </c>
      <c r="H954" s="9">
        <v>0</v>
      </c>
      <c r="I954" s="9">
        <v>1</v>
      </c>
      <c r="J954" s="9">
        <v>0</v>
      </c>
      <c r="K954" s="9">
        <v>1</v>
      </c>
      <c r="L954" s="9">
        <v>0</v>
      </c>
      <c r="M954" s="9">
        <v>0</v>
      </c>
      <c r="N954" s="9">
        <v>0</v>
      </c>
      <c r="O954" s="9">
        <v>1</v>
      </c>
      <c r="P954" s="9">
        <v>0</v>
      </c>
      <c r="Q954" s="9">
        <v>0</v>
      </c>
      <c r="R954" s="9">
        <v>1</v>
      </c>
      <c r="S954" s="1">
        <f t="shared" si="7"/>
        <v>4</v>
      </c>
    </row>
    <row r="955" spans="2:19" ht="13.2" x14ac:dyDescent="0.25">
      <c r="B955" s="109"/>
      <c r="C955" s="9">
        <v>2020</v>
      </c>
      <c r="D955" s="9">
        <v>0</v>
      </c>
      <c r="E955" s="9">
        <v>1</v>
      </c>
      <c r="F955" s="9">
        <v>1</v>
      </c>
      <c r="G955" s="9">
        <v>1</v>
      </c>
      <c r="H955" s="9">
        <v>1</v>
      </c>
      <c r="I955" s="9">
        <v>0</v>
      </c>
      <c r="J955" s="9">
        <v>0</v>
      </c>
      <c r="K955" s="9">
        <v>0</v>
      </c>
      <c r="L955" s="9">
        <v>1</v>
      </c>
      <c r="M955" s="9">
        <v>1</v>
      </c>
      <c r="N955" s="9">
        <v>1</v>
      </c>
      <c r="O955" s="9">
        <v>0</v>
      </c>
      <c r="P955" s="9">
        <v>0</v>
      </c>
      <c r="Q955" s="9">
        <v>0</v>
      </c>
      <c r="R955" s="9">
        <v>0</v>
      </c>
      <c r="S955" s="1">
        <f t="shared" si="7"/>
        <v>7</v>
      </c>
    </row>
    <row r="956" spans="2:19" ht="13.2" x14ac:dyDescent="0.25">
      <c r="B956" s="109"/>
      <c r="C956" s="9">
        <v>2021</v>
      </c>
      <c r="D956" s="9">
        <v>1</v>
      </c>
      <c r="E956" s="9">
        <v>0</v>
      </c>
      <c r="F956" s="9">
        <v>0</v>
      </c>
      <c r="G956" s="9">
        <v>0</v>
      </c>
      <c r="H956" s="9">
        <v>1</v>
      </c>
      <c r="I956" s="9">
        <v>1</v>
      </c>
      <c r="J956" s="9">
        <v>0</v>
      </c>
      <c r="K956" s="9">
        <v>0</v>
      </c>
      <c r="L956" s="9">
        <v>1</v>
      </c>
      <c r="M956" s="9">
        <v>0</v>
      </c>
      <c r="N956" s="9">
        <v>1</v>
      </c>
      <c r="O956" s="9">
        <v>1</v>
      </c>
      <c r="P956" s="9">
        <v>0</v>
      </c>
      <c r="Q956" s="9">
        <v>0</v>
      </c>
      <c r="R956" s="9">
        <v>1</v>
      </c>
      <c r="S956" s="1">
        <f t="shared" si="7"/>
        <v>7</v>
      </c>
    </row>
    <row r="957" spans="2:19" ht="13.2" x14ac:dyDescent="0.25">
      <c r="B957" s="110"/>
      <c r="C957" s="9">
        <v>2022</v>
      </c>
      <c r="D957" s="9">
        <v>1</v>
      </c>
      <c r="E957" s="9">
        <v>0</v>
      </c>
      <c r="F957" s="9">
        <v>1</v>
      </c>
      <c r="G957" s="9">
        <v>1</v>
      </c>
      <c r="H957" s="9">
        <v>1</v>
      </c>
      <c r="I957" s="9">
        <v>0</v>
      </c>
      <c r="J957" s="9">
        <v>1</v>
      </c>
      <c r="K957" s="9">
        <v>1</v>
      </c>
      <c r="L957" s="9">
        <v>1</v>
      </c>
      <c r="M957" s="9">
        <v>1</v>
      </c>
      <c r="N957" s="9">
        <v>0</v>
      </c>
      <c r="O957" s="9">
        <v>0</v>
      </c>
      <c r="P957" s="9">
        <v>0</v>
      </c>
      <c r="Q957" s="9">
        <v>1</v>
      </c>
      <c r="R957" s="9">
        <v>0</v>
      </c>
      <c r="S957" s="1">
        <f t="shared" si="7"/>
        <v>9</v>
      </c>
    </row>
    <row r="958" spans="2:19" ht="13.2" x14ac:dyDescent="0.25">
      <c r="B958" s="108" t="s">
        <v>185</v>
      </c>
      <c r="C958" s="9">
        <v>2018</v>
      </c>
      <c r="D958" s="9">
        <v>0</v>
      </c>
      <c r="E958" s="9">
        <v>0</v>
      </c>
      <c r="F958" s="9">
        <v>0</v>
      </c>
      <c r="G958" s="9">
        <v>0</v>
      </c>
      <c r="H958" s="9">
        <v>0</v>
      </c>
      <c r="I958" s="9">
        <v>1</v>
      </c>
      <c r="J958" s="9">
        <v>1</v>
      </c>
      <c r="K958" s="9">
        <v>1</v>
      </c>
      <c r="L958" s="9">
        <v>1</v>
      </c>
      <c r="M958" s="9">
        <v>1</v>
      </c>
      <c r="N958" s="9">
        <v>0</v>
      </c>
      <c r="O958" s="9">
        <v>1</v>
      </c>
      <c r="P958" s="9">
        <v>1</v>
      </c>
      <c r="Q958" s="9">
        <v>1</v>
      </c>
      <c r="R958" s="9">
        <v>1</v>
      </c>
      <c r="S958" s="1">
        <f t="shared" si="7"/>
        <v>9</v>
      </c>
    </row>
    <row r="959" spans="2:19" ht="13.2" x14ac:dyDescent="0.25">
      <c r="B959" s="109"/>
      <c r="C959" s="9">
        <v>2019</v>
      </c>
      <c r="D959" s="9">
        <v>0</v>
      </c>
      <c r="E959" s="9">
        <v>1</v>
      </c>
      <c r="F959" s="9">
        <v>0</v>
      </c>
      <c r="G959" s="9">
        <v>1</v>
      </c>
      <c r="H959" s="9">
        <v>1</v>
      </c>
      <c r="I959" s="9">
        <v>1</v>
      </c>
      <c r="J959" s="9">
        <v>0</v>
      </c>
      <c r="K959" s="9">
        <v>1</v>
      </c>
      <c r="L959" s="9">
        <v>1</v>
      </c>
      <c r="M959" s="9">
        <v>1</v>
      </c>
      <c r="N959" s="9">
        <v>1</v>
      </c>
      <c r="O959" s="9">
        <v>0</v>
      </c>
      <c r="P959" s="9">
        <v>1</v>
      </c>
      <c r="Q959" s="9">
        <v>0</v>
      </c>
      <c r="R959" s="9">
        <v>0</v>
      </c>
      <c r="S959" s="1">
        <f t="shared" si="7"/>
        <v>9</v>
      </c>
    </row>
    <row r="960" spans="2:19" ht="13.2" x14ac:dyDescent="0.25">
      <c r="B960" s="109"/>
      <c r="C960" s="9">
        <v>2020</v>
      </c>
      <c r="D960" s="9">
        <v>1</v>
      </c>
      <c r="E960" s="9">
        <v>1</v>
      </c>
      <c r="F960" s="9">
        <v>0</v>
      </c>
      <c r="G960" s="9">
        <v>1</v>
      </c>
      <c r="H960" s="9">
        <v>0</v>
      </c>
      <c r="I960" s="9">
        <v>1</v>
      </c>
      <c r="J960" s="9">
        <v>1</v>
      </c>
      <c r="K960" s="9">
        <v>1</v>
      </c>
      <c r="L960" s="9">
        <v>1</v>
      </c>
      <c r="M960" s="9">
        <v>1</v>
      </c>
      <c r="N960" s="9">
        <v>0</v>
      </c>
      <c r="O960" s="9">
        <v>1</v>
      </c>
      <c r="P960" s="9">
        <v>0</v>
      </c>
      <c r="Q960" s="9">
        <v>0</v>
      </c>
      <c r="R960" s="9">
        <v>0</v>
      </c>
      <c r="S960" s="1">
        <f t="shared" si="7"/>
        <v>9</v>
      </c>
    </row>
    <row r="961" spans="2:24" ht="13.2" x14ac:dyDescent="0.25">
      <c r="B961" s="109"/>
      <c r="C961" s="9">
        <v>2021</v>
      </c>
      <c r="D961" s="9">
        <v>0</v>
      </c>
      <c r="E961" s="9">
        <v>1</v>
      </c>
      <c r="F961" s="9">
        <v>0</v>
      </c>
      <c r="G961" s="9">
        <v>0</v>
      </c>
      <c r="H961" s="9">
        <v>1</v>
      </c>
      <c r="I961" s="9">
        <v>1</v>
      </c>
      <c r="J961" s="9">
        <v>1</v>
      </c>
      <c r="K961" s="9">
        <v>1</v>
      </c>
      <c r="L961" s="9">
        <v>0</v>
      </c>
      <c r="M961" s="9">
        <v>0</v>
      </c>
      <c r="N961" s="9">
        <v>0</v>
      </c>
      <c r="O961" s="9">
        <v>0</v>
      </c>
      <c r="P961" s="9">
        <v>1</v>
      </c>
      <c r="Q961" s="9">
        <v>0</v>
      </c>
      <c r="R961" s="9">
        <v>0</v>
      </c>
      <c r="S961" s="1">
        <f t="shared" si="7"/>
        <v>6</v>
      </c>
    </row>
    <row r="962" spans="2:24" ht="13.2" x14ac:dyDescent="0.25">
      <c r="B962" s="110"/>
      <c r="C962" s="9">
        <v>2022</v>
      </c>
      <c r="D962" s="9">
        <v>0</v>
      </c>
      <c r="E962" s="9">
        <v>0</v>
      </c>
      <c r="F962" s="9">
        <v>0</v>
      </c>
      <c r="G962" s="9">
        <v>0</v>
      </c>
      <c r="H962" s="9">
        <v>0</v>
      </c>
      <c r="I962" s="9">
        <v>0</v>
      </c>
      <c r="J962" s="9">
        <v>0</v>
      </c>
      <c r="K962" s="9">
        <v>1</v>
      </c>
      <c r="L962" s="9">
        <v>0</v>
      </c>
      <c r="M962" s="9">
        <v>0</v>
      </c>
      <c r="N962" s="9">
        <v>1</v>
      </c>
      <c r="O962" s="9">
        <v>1</v>
      </c>
      <c r="P962" s="9">
        <v>1</v>
      </c>
      <c r="Q962" s="9">
        <v>0</v>
      </c>
      <c r="R962" s="9">
        <v>1</v>
      </c>
      <c r="S962" s="1">
        <f t="shared" si="7"/>
        <v>5</v>
      </c>
    </row>
    <row r="963" spans="2:24" ht="13.2" x14ac:dyDescent="0.25">
      <c r="B963" s="108" t="s">
        <v>186</v>
      </c>
      <c r="C963" s="9">
        <v>2018</v>
      </c>
      <c r="D963" s="9">
        <v>1</v>
      </c>
      <c r="E963" s="9">
        <v>1</v>
      </c>
      <c r="F963" s="9">
        <v>0</v>
      </c>
      <c r="G963" s="9">
        <v>1</v>
      </c>
      <c r="H963" s="9">
        <v>0</v>
      </c>
      <c r="I963" s="9">
        <v>0</v>
      </c>
      <c r="J963" s="9">
        <v>1</v>
      </c>
      <c r="K963" s="9">
        <v>0</v>
      </c>
      <c r="L963" s="9">
        <v>1</v>
      </c>
      <c r="M963" s="9">
        <v>1</v>
      </c>
      <c r="N963" s="9">
        <v>1</v>
      </c>
      <c r="O963" s="9">
        <v>1</v>
      </c>
      <c r="P963" s="9">
        <v>1</v>
      </c>
      <c r="Q963" s="9">
        <v>0</v>
      </c>
      <c r="R963" s="9">
        <v>0</v>
      </c>
      <c r="S963" s="1">
        <f t="shared" si="7"/>
        <v>9</v>
      </c>
    </row>
    <row r="964" spans="2:24" ht="13.2" x14ac:dyDescent="0.25">
      <c r="B964" s="109"/>
      <c r="C964" s="9">
        <v>2019</v>
      </c>
      <c r="D964" s="9">
        <v>1</v>
      </c>
      <c r="E964" s="9">
        <v>0</v>
      </c>
      <c r="F964" s="9">
        <v>1</v>
      </c>
      <c r="G964" s="9">
        <v>0</v>
      </c>
      <c r="H964" s="9">
        <v>0</v>
      </c>
      <c r="I964" s="9">
        <v>1</v>
      </c>
      <c r="J964" s="9">
        <v>1</v>
      </c>
      <c r="K964" s="9">
        <v>0</v>
      </c>
      <c r="L964" s="9">
        <v>0</v>
      </c>
      <c r="M964" s="9">
        <v>1</v>
      </c>
      <c r="N964" s="9">
        <v>0</v>
      </c>
      <c r="O964" s="9">
        <v>0</v>
      </c>
      <c r="P964" s="9">
        <v>0</v>
      </c>
      <c r="Q964" s="9">
        <v>1</v>
      </c>
      <c r="R964" s="9">
        <v>0</v>
      </c>
      <c r="S964" s="1">
        <f t="shared" si="7"/>
        <v>6</v>
      </c>
    </row>
    <row r="965" spans="2:24" ht="13.2" x14ac:dyDescent="0.25">
      <c r="B965" s="109"/>
      <c r="C965" s="9">
        <v>2020</v>
      </c>
      <c r="D965" s="9">
        <v>1</v>
      </c>
      <c r="E965" s="9">
        <v>0</v>
      </c>
      <c r="F965" s="9">
        <v>0</v>
      </c>
      <c r="G965" s="9">
        <v>1</v>
      </c>
      <c r="H965" s="9">
        <v>0</v>
      </c>
      <c r="I965" s="9">
        <v>0</v>
      </c>
      <c r="J965" s="9">
        <v>0</v>
      </c>
      <c r="K965" s="9">
        <v>1</v>
      </c>
      <c r="L965" s="9">
        <v>0</v>
      </c>
      <c r="M965" s="9">
        <v>0</v>
      </c>
      <c r="N965" s="9">
        <v>0</v>
      </c>
      <c r="O965" s="9">
        <v>1</v>
      </c>
      <c r="P965" s="9">
        <v>0</v>
      </c>
      <c r="Q965" s="9">
        <v>1</v>
      </c>
      <c r="R965" s="9">
        <v>0</v>
      </c>
      <c r="S965" s="1">
        <f t="shared" si="7"/>
        <v>5</v>
      </c>
    </row>
    <row r="966" spans="2:24" ht="13.2" x14ac:dyDescent="0.25">
      <c r="B966" s="109"/>
      <c r="C966" s="9">
        <v>2021</v>
      </c>
      <c r="D966" s="9">
        <v>0</v>
      </c>
      <c r="E966" s="9">
        <v>0</v>
      </c>
      <c r="F966" s="9">
        <v>1</v>
      </c>
      <c r="G966" s="9">
        <v>1</v>
      </c>
      <c r="H966" s="9">
        <v>1</v>
      </c>
      <c r="I966" s="9">
        <v>1</v>
      </c>
      <c r="J966" s="9">
        <v>0</v>
      </c>
      <c r="K966" s="9">
        <v>0</v>
      </c>
      <c r="L966" s="9">
        <v>1</v>
      </c>
      <c r="M966" s="9">
        <v>0</v>
      </c>
      <c r="N966" s="9">
        <v>1</v>
      </c>
      <c r="O966" s="9">
        <v>0</v>
      </c>
      <c r="P966" s="9">
        <v>1</v>
      </c>
      <c r="Q966" s="9">
        <v>0</v>
      </c>
      <c r="R966" s="9">
        <v>0</v>
      </c>
      <c r="S966" s="1">
        <f t="shared" si="7"/>
        <v>7</v>
      </c>
    </row>
    <row r="967" spans="2:24" ht="13.2" x14ac:dyDescent="0.25">
      <c r="B967" s="110"/>
      <c r="C967" s="9">
        <v>2022</v>
      </c>
      <c r="D967" s="9">
        <v>0</v>
      </c>
      <c r="E967" s="9">
        <v>1</v>
      </c>
      <c r="F967" s="9">
        <v>1</v>
      </c>
      <c r="G967" s="9">
        <v>1</v>
      </c>
      <c r="H967" s="9">
        <v>1</v>
      </c>
      <c r="I967" s="9">
        <v>0</v>
      </c>
      <c r="J967" s="9">
        <v>1</v>
      </c>
      <c r="K967" s="9">
        <v>0</v>
      </c>
      <c r="L967" s="9">
        <v>0</v>
      </c>
      <c r="M967" s="9">
        <v>1</v>
      </c>
      <c r="N967" s="9">
        <v>1</v>
      </c>
      <c r="O967" s="9">
        <v>1</v>
      </c>
      <c r="P967" s="9">
        <v>0</v>
      </c>
      <c r="Q967" s="9">
        <v>1</v>
      </c>
      <c r="R967" s="9">
        <v>1</v>
      </c>
      <c r="S967" s="1">
        <f t="shared" si="7"/>
        <v>10</v>
      </c>
    </row>
    <row r="968" spans="2:24" ht="13.2" x14ac:dyDescent="0.25">
      <c r="B968" s="2"/>
      <c r="C968" s="2"/>
      <c r="D968" s="2"/>
      <c r="E968" s="2"/>
      <c r="F968" s="2"/>
      <c r="G968" s="2"/>
      <c r="H968" s="2"/>
      <c r="I968" s="2"/>
      <c r="J968" s="2"/>
      <c r="K968" s="2"/>
      <c r="L968" s="2"/>
    </row>
    <row r="969" spans="2:24" ht="13.2" x14ac:dyDescent="0.25">
      <c r="B969" s="2"/>
      <c r="C969" s="2"/>
      <c r="D969" s="2"/>
      <c r="E969" s="2"/>
      <c r="F969" s="2"/>
      <c r="G969" s="2"/>
      <c r="H969" s="2"/>
      <c r="I969" s="2"/>
      <c r="J969" s="2"/>
      <c r="K969" s="2"/>
      <c r="L969" s="2"/>
    </row>
    <row r="970" spans="2:24" ht="13.2" x14ac:dyDescent="0.25">
      <c r="B970" s="2"/>
      <c r="C970" s="2"/>
      <c r="D970" s="2"/>
      <c r="E970" s="2"/>
      <c r="F970" s="2"/>
      <c r="G970" s="2"/>
      <c r="H970" s="2"/>
      <c r="I970" s="2"/>
      <c r="J970" s="2"/>
      <c r="K970" s="2"/>
      <c r="L970" s="2"/>
    </row>
    <row r="971" spans="2:24" ht="15.6" x14ac:dyDescent="0.25">
      <c r="B971" s="111" t="s">
        <v>6</v>
      </c>
      <c r="C971" s="107"/>
      <c r="D971" s="105" t="s">
        <v>190</v>
      </c>
      <c r="E971" s="106"/>
      <c r="F971" s="106"/>
      <c r="G971" s="106"/>
      <c r="H971" s="106"/>
      <c r="I971" s="106"/>
      <c r="J971" s="106"/>
      <c r="K971" s="106"/>
      <c r="L971" s="106"/>
      <c r="M971" s="106"/>
      <c r="N971" s="106"/>
      <c r="O971" s="106"/>
      <c r="P971" s="106"/>
      <c r="Q971" s="106"/>
      <c r="R971" s="106"/>
      <c r="S971" s="106"/>
      <c r="T971" s="106"/>
      <c r="U971" s="106"/>
      <c r="V971" s="106"/>
      <c r="W971" s="107"/>
    </row>
    <row r="972" spans="2:24" ht="13.2" x14ac:dyDescent="0.25">
      <c r="B972" s="4" t="s">
        <v>6</v>
      </c>
      <c r="C972" s="5" t="s">
        <v>7</v>
      </c>
      <c r="D972" s="5" t="s">
        <v>16</v>
      </c>
      <c r="E972" s="5" t="s">
        <v>22</v>
      </c>
      <c r="F972" s="5" t="s">
        <v>26</v>
      </c>
      <c r="G972" s="5" t="s">
        <v>30</v>
      </c>
      <c r="H972" s="5" t="s">
        <v>34</v>
      </c>
      <c r="I972" s="5" t="s">
        <v>38</v>
      </c>
      <c r="J972" s="5" t="s">
        <v>43</v>
      </c>
      <c r="K972" s="5" t="s">
        <v>47</v>
      </c>
      <c r="L972" s="5" t="s">
        <v>51</v>
      </c>
      <c r="M972" s="5" t="s">
        <v>55</v>
      </c>
      <c r="N972" s="5" t="s">
        <v>59</v>
      </c>
      <c r="O972" s="5" t="s">
        <v>64</v>
      </c>
      <c r="P972" s="5" t="s">
        <v>68</v>
      </c>
      <c r="Q972" s="5" t="s">
        <v>72</v>
      </c>
      <c r="R972" s="5" t="s">
        <v>76</v>
      </c>
      <c r="S972" s="5" t="s">
        <v>80</v>
      </c>
      <c r="T972" s="5" t="s">
        <v>85</v>
      </c>
      <c r="U972" s="5" t="s">
        <v>88</v>
      </c>
      <c r="V972" s="5" t="s">
        <v>91</v>
      </c>
      <c r="W972" s="5" t="s">
        <v>94</v>
      </c>
    </row>
    <row r="973" spans="2:24" ht="13.2" x14ac:dyDescent="0.25">
      <c r="B973" s="108" t="s">
        <v>18</v>
      </c>
      <c r="C973" s="9">
        <v>2018</v>
      </c>
      <c r="D973" s="9">
        <v>1</v>
      </c>
      <c r="E973" s="9">
        <v>1</v>
      </c>
      <c r="F973" s="9">
        <v>0</v>
      </c>
      <c r="G973" s="9">
        <v>1</v>
      </c>
      <c r="H973" s="9">
        <v>1</v>
      </c>
      <c r="I973" s="9">
        <v>0</v>
      </c>
      <c r="J973" s="9">
        <v>0</v>
      </c>
      <c r="K973" s="9">
        <v>0</v>
      </c>
      <c r="L973" s="9">
        <v>0</v>
      </c>
      <c r="M973" s="9">
        <v>1</v>
      </c>
      <c r="N973" s="9">
        <v>0</v>
      </c>
      <c r="O973" s="9">
        <v>1</v>
      </c>
      <c r="P973" s="9">
        <v>1</v>
      </c>
      <c r="Q973" s="9">
        <v>1</v>
      </c>
      <c r="R973" s="9">
        <v>0</v>
      </c>
      <c r="S973" s="9">
        <v>1</v>
      </c>
      <c r="T973" s="9">
        <v>0</v>
      </c>
      <c r="U973" s="9">
        <v>0</v>
      </c>
      <c r="V973" s="9">
        <v>1</v>
      </c>
      <c r="W973" s="9">
        <v>1</v>
      </c>
      <c r="X973" s="1">
        <f t="shared" ref="X973:X1102" si="8">SUM(D973:W973)</f>
        <v>11</v>
      </c>
    </row>
    <row r="974" spans="2:24" ht="13.2" x14ac:dyDescent="0.25">
      <c r="B974" s="109"/>
      <c r="C974" s="9">
        <v>2019</v>
      </c>
      <c r="D974" s="9">
        <v>1</v>
      </c>
      <c r="E974" s="9">
        <v>0</v>
      </c>
      <c r="F974" s="9">
        <v>1</v>
      </c>
      <c r="G974" s="9">
        <v>0</v>
      </c>
      <c r="H974" s="9">
        <v>1</v>
      </c>
      <c r="I974" s="9">
        <v>0</v>
      </c>
      <c r="J974" s="9">
        <v>1</v>
      </c>
      <c r="K974" s="9">
        <v>1</v>
      </c>
      <c r="L974" s="9">
        <v>0</v>
      </c>
      <c r="M974" s="9">
        <v>0</v>
      </c>
      <c r="N974" s="9">
        <v>0</v>
      </c>
      <c r="O974" s="9">
        <v>0</v>
      </c>
      <c r="P974" s="9">
        <v>0</v>
      </c>
      <c r="Q974" s="9">
        <v>0</v>
      </c>
      <c r="R974" s="9">
        <v>1</v>
      </c>
      <c r="S974" s="9">
        <v>0</v>
      </c>
      <c r="T974" s="9">
        <v>0</v>
      </c>
      <c r="U974" s="9">
        <v>1</v>
      </c>
      <c r="V974" s="9">
        <v>1</v>
      </c>
      <c r="W974" s="9">
        <v>1</v>
      </c>
      <c r="X974" s="1">
        <f t="shared" si="8"/>
        <v>9</v>
      </c>
    </row>
    <row r="975" spans="2:24" ht="13.2" x14ac:dyDescent="0.25">
      <c r="B975" s="109"/>
      <c r="C975" s="9">
        <v>2020</v>
      </c>
      <c r="D975" s="9">
        <v>0</v>
      </c>
      <c r="E975" s="9">
        <v>0</v>
      </c>
      <c r="F975" s="9">
        <v>0</v>
      </c>
      <c r="G975" s="9">
        <v>1</v>
      </c>
      <c r="H975" s="9">
        <v>0</v>
      </c>
      <c r="I975" s="9">
        <v>0</v>
      </c>
      <c r="J975" s="9">
        <v>1</v>
      </c>
      <c r="K975" s="9">
        <v>1</v>
      </c>
      <c r="L975" s="9">
        <v>0</v>
      </c>
      <c r="M975" s="9">
        <v>1</v>
      </c>
      <c r="N975" s="9">
        <v>1</v>
      </c>
      <c r="O975" s="9">
        <v>0</v>
      </c>
      <c r="P975" s="9">
        <v>1</v>
      </c>
      <c r="Q975" s="9">
        <v>1</v>
      </c>
      <c r="R975" s="9">
        <v>1</v>
      </c>
      <c r="S975" s="9">
        <v>1</v>
      </c>
      <c r="T975" s="9">
        <v>1</v>
      </c>
      <c r="U975" s="9">
        <v>1</v>
      </c>
      <c r="V975" s="9">
        <v>1</v>
      </c>
      <c r="W975" s="9">
        <v>1</v>
      </c>
      <c r="X975" s="1">
        <f t="shared" si="8"/>
        <v>13</v>
      </c>
    </row>
    <row r="976" spans="2:24" ht="13.2" x14ac:dyDescent="0.25">
      <c r="B976" s="109"/>
      <c r="C976" s="9">
        <v>2021</v>
      </c>
      <c r="D976" s="9">
        <v>1</v>
      </c>
      <c r="E976" s="9">
        <v>0</v>
      </c>
      <c r="F976" s="9">
        <v>0</v>
      </c>
      <c r="G976" s="9">
        <v>0</v>
      </c>
      <c r="H976" s="9">
        <v>1</v>
      </c>
      <c r="I976" s="9">
        <v>0</v>
      </c>
      <c r="J976" s="9">
        <v>1</v>
      </c>
      <c r="K976" s="9">
        <v>1</v>
      </c>
      <c r="L976" s="9">
        <v>1</v>
      </c>
      <c r="M976" s="9">
        <v>1</v>
      </c>
      <c r="N976" s="9">
        <v>1</v>
      </c>
      <c r="O976" s="9">
        <v>1</v>
      </c>
      <c r="P976" s="9">
        <v>1</v>
      </c>
      <c r="Q976" s="9">
        <v>0</v>
      </c>
      <c r="R976" s="9">
        <v>0</v>
      </c>
      <c r="S976" s="9">
        <v>1</v>
      </c>
      <c r="T976" s="9">
        <v>1</v>
      </c>
      <c r="U976" s="9">
        <v>1</v>
      </c>
      <c r="V976" s="9">
        <v>0</v>
      </c>
      <c r="W976" s="9">
        <v>0</v>
      </c>
      <c r="X976" s="1">
        <f t="shared" si="8"/>
        <v>12</v>
      </c>
    </row>
    <row r="977" spans="2:24" ht="13.2" x14ac:dyDescent="0.25">
      <c r="B977" s="110"/>
      <c r="C977" s="9">
        <v>2022</v>
      </c>
      <c r="D977" s="9">
        <v>1</v>
      </c>
      <c r="E977" s="9">
        <v>0</v>
      </c>
      <c r="F977" s="9">
        <v>1</v>
      </c>
      <c r="G977" s="9">
        <v>1</v>
      </c>
      <c r="H977" s="9">
        <v>0</v>
      </c>
      <c r="I977" s="9">
        <v>0</v>
      </c>
      <c r="J977" s="9">
        <v>0</v>
      </c>
      <c r="K977" s="9">
        <v>1</v>
      </c>
      <c r="L977" s="9">
        <v>0</v>
      </c>
      <c r="M977" s="9">
        <v>0</v>
      </c>
      <c r="N977" s="9">
        <v>1</v>
      </c>
      <c r="O977" s="9">
        <v>0</v>
      </c>
      <c r="P977" s="9">
        <v>1</v>
      </c>
      <c r="Q977" s="9">
        <v>1</v>
      </c>
      <c r="R977" s="9">
        <v>1</v>
      </c>
      <c r="S977" s="9">
        <v>1</v>
      </c>
      <c r="T977" s="9">
        <v>0</v>
      </c>
      <c r="U977" s="9">
        <v>1</v>
      </c>
      <c r="V977" s="9">
        <v>1</v>
      </c>
      <c r="W977" s="9">
        <v>1</v>
      </c>
      <c r="X977" s="1">
        <f t="shared" si="8"/>
        <v>12</v>
      </c>
    </row>
    <row r="978" spans="2:24" ht="13.2" x14ac:dyDescent="0.25">
      <c r="B978" s="108" t="s">
        <v>39</v>
      </c>
      <c r="C978" s="9">
        <v>2018</v>
      </c>
      <c r="D978" s="9">
        <v>1</v>
      </c>
      <c r="E978" s="9">
        <v>1</v>
      </c>
      <c r="F978" s="9">
        <v>1</v>
      </c>
      <c r="G978" s="9">
        <v>1</v>
      </c>
      <c r="H978" s="9">
        <v>0</v>
      </c>
      <c r="I978" s="9">
        <v>1</v>
      </c>
      <c r="J978" s="9">
        <v>0</v>
      </c>
      <c r="K978" s="9">
        <v>1</v>
      </c>
      <c r="L978" s="9">
        <v>1</v>
      </c>
      <c r="M978" s="9">
        <v>1</v>
      </c>
      <c r="N978" s="9">
        <v>0</v>
      </c>
      <c r="O978" s="9">
        <v>0</v>
      </c>
      <c r="P978" s="9">
        <v>0</v>
      </c>
      <c r="Q978" s="9">
        <v>0</v>
      </c>
      <c r="R978" s="9">
        <v>1</v>
      </c>
      <c r="S978" s="9">
        <v>1</v>
      </c>
      <c r="T978" s="9">
        <v>0</v>
      </c>
      <c r="U978" s="9">
        <v>0</v>
      </c>
      <c r="V978" s="9">
        <v>0</v>
      </c>
      <c r="W978" s="9">
        <v>0</v>
      </c>
      <c r="X978" s="1">
        <f t="shared" si="8"/>
        <v>10</v>
      </c>
    </row>
    <row r="979" spans="2:24" ht="13.2" x14ac:dyDescent="0.25">
      <c r="B979" s="109"/>
      <c r="C979" s="9">
        <v>2019</v>
      </c>
      <c r="D979" s="9">
        <v>1</v>
      </c>
      <c r="E979" s="9">
        <v>1</v>
      </c>
      <c r="F979" s="9">
        <v>1</v>
      </c>
      <c r="G979" s="9">
        <v>0</v>
      </c>
      <c r="H979" s="9">
        <v>0</v>
      </c>
      <c r="I979" s="9">
        <v>0</v>
      </c>
      <c r="J979" s="9">
        <v>1</v>
      </c>
      <c r="K979" s="9">
        <v>1</v>
      </c>
      <c r="L979" s="9">
        <v>1</v>
      </c>
      <c r="M979" s="9">
        <v>1</v>
      </c>
      <c r="N979" s="9">
        <v>0</v>
      </c>
      <c r="O979" s="9">
        <v>0</v>
      </c>
      <c r="P979" s="9">
        <v>1</v>
      </c>
      <c r="Q979" s="9">
        <v>0</v>
      </c>
      <c r="R979" s="9">
        <v>0</v>
      </c>
      <c r="S979" s="9">
        <v>1</v>
      </c>
      <c r="T979" s="9">
        <v>0</v>
      </c>
      <c r="U979" s="9">
        <v>0</v>
      </c>
      <c r="V979" s="9">
        <v>0</v>
      </c>
      <c r="W979" s="9">
        <v>1</v>
      </c>
      <c r="X979" s="1">
        <f t="shared" si="8"/>
        <v>10</v>
      </c>
    </row>
    <row r="980" spans="2:24" ht="13.2" x14ac:dyDescent="0.25">
      <c r="B980" s="109"/>
      <c r="C980" s="9">
        <v>2020</v>
      </c>
      <c r="D980" s="9">
        <v>1</v>
      </c>
      <c r="E980" s="9">
        <v>0</v>
      </c>
      <c r="F980" s="9">
        <v>1</v>
      </c>
      <c r="G980" s="9">
        <v>1</v>
      </c>
      <c r="H980" s="9">
        <v>0</v>
      </c>
      <c r="I980" s="9">
        <v>0</v>
      </c>
      <c r="J980" s="9">
        <v>1</v>
      </c>
      <c r="K980" s="9">
        <v>1</v>
      </c>
      <c r="L980" s="9">
        <v>1</v>
      </c>
      <c r="M980" s="9">
        <v>0</v>
      </c>
      <c r="N980" s="9">
        <v>0</v>
      </c>
      <c r="O980" s="9">
        <v>0</v>
      </c>
      <c r="P980" s="9">
        <v>0</v>
      </c>
      <c r="Q980" s="9">
        <v>1</v>
      </c>
      <c r="R980" s="9">
        <v>0</v>
      </c>
      <c r="S980" s="9">
        <v>1</v>
      </c>
      <c r="T980" s="9">
        <v>1</v>
      </c>
      <c r="U980" s="9">
        <v>1</v>
      </c>
      <c r="V980" s="9">
        <v>1</v>
      </c>
      <c r="W980" s="9">
        <v>1</v>
      </c>
      <c r="X980" s="1">
        <f t="shared" si="8"/>
        <v>12</v>
      </c>
    </row>
    <row r="981" spans="2:24" ht="13.2" x14ac:dyDescent="0.25">
      <c r="B981" s="109"/>
      <c r="C981" s="9">
        <v>2021</v>
      </c>
      <c r="D981" s="9">
        <v>1</v>
      </c>
      <c r="E981" s="9">
        <v>1</v>
      </c>
      <c r="F981" s="9">
        <v>1</v>
      </c>
      <c r="G981" s="9">
        <v>1</v>
      </c>
      <c r="H981" s="9">
        <v>1</v>
      </c>
      <c r="I981" s="9">
        <v>1</v>
      </c>
      <c r="J981" s="9">
        <v>1</v>
      </c>
      <c r="K981" s="9">
        <v>0</v>
      </c>
      <c r="L981" s="9">
        <v>0</v>
      </c>
      <c r="M981" s="9">
        <v>0</v>
      </c>
      <c r="N981" s="9">
        <v>1</v>
      </c>
      <c r="O981" s="9">
        <v>1</v>
      </c>
      <c r="P981" s="9">
        <v>0</v>
      </c>
      <c r="Q981" s="9">
        <v>1</v>
      </c>
      <c r="R981" s="9">
        <v>1</v>
      </c>
      <c r="S981" s="9">
        <v>0</v>
      </c>
      <c r="T981" s="9">
        <v>0</v>
      </c>
      <c r="U981" s="9">
        <v>0</v>
      </c>
      <c r="V981" s="9">
        <v>1</v>
      </c>
      <c r="W981" s="9">
        <v>1</v>
      </c>
      <c r="X981" s="1">
        <f t="shared" si="8"/>
        <v>13</v>
      </c>
    </row>
    <row r="982" spans="2:24" ht="13.2" x14ac:dyDescent="0.25">
      <c r="B982" s="110"/>
      <c r="C982" s="9">
        <v>2022</v>
      </c>
      <c r="D982" s="9">
        <v>1</v>
      </c>
      <c r="E982" s="9">
        <v>1</v>
      </c>
      <c r="F982" s="9">
        <v>1</v>
      </c>
      <c r="G982" s="9">
        <v>1</v>
      </c>
      <c r="H982" s="9">
        <v>1</v>
      </c>
      <c r="I982" s="9">
        <v>0</v>
      </c>
      <c r="J982" s="9">
        <v>0</v>
      </c>
      <c r="K982" s="9">
        <v>0</v>
      </c>
      <c r="L982" s="9">
        <v>0</v>
      </c>
      <c r="M982" s="9">
        <v>1</v>
      </c>
      <c r="N982" s="9">
        <v>1</v>
      </c>
      <c r="O982" s="9">
        <v>1</v>
      </c>
      <c r="P982" s="9">
        <v>1</v>
      </c>
      <c r="Q982" s="9">
        <v>0</v>
      </c>
      <c r="R982" s="9">
        <v>0</v>
      </c>
      <c r="S982" s="9">
        <v>1</v>
      </c>
      <c r="T982" s="9">
        <v>1</v>
      </c>
      <c r="U982" s="9">
        <v>0</v>
      </c>
      <c r="V982" s="9">
        <v>0</v>
      </c>
      <c r="W982" s="9">
        <v>0</v>
      </c>
      <c r="X982" s="1">
        <f t="shared" si="8"/>
        <v>11</v>
      </c>
    </row>
    <row r="983" spans="2:24" ht="13.2" x14ac:dyDescent="0.25">
      <c r="B983" s="108" t="s">
        <v>60</v>
      </c>
      <c r="C983" s="9">
        <v>2018</v>
      </c>
      <c r="D983" s="9">
        <v>0</v>
      </c>
      <c r="E983" s="9">
        <v>0</v>
      </c>
      <c r="F983" s="9">
        <v>0</v>
      </c>
      <c r="G983" s="9">
        <v>0</v>
      </c>
      <c r="H983" s="9">
        <v>0</v>
      </c>
      <c r="I983" s="9">
        <v>0</v>
      </c>
      <c r="J983" s="9">
        <v>1</v>
      </c>
      <c r="K983" s="9">
        <v>1</v>
      </c>
      <c r="L983" s="9">
        <v>0</v>
      </c>
      <c r="M983" s="9">
        <v>1</v>
      </c>
      <c r="N983" s="9">
        <v>1</v>
      </c>
      <c r="O983" s="9">
        <v>1</v>
      </c>
      <c r="P983" s="9">
        <v>0</v>
      </c>
      <c r="Q983" s="9">
        <v>0</v>
      </c>
      <c r="R983" s="9">
        <v>0</v>
      </c>
      <c r="S983" s="9">
        <v>0</v>
      </c>
      <c r="T983" s="9">
        <v>0</v>
      </c>
      <c r="U983" s="9">
        <v>0</v>
      </c>
      <c r="V983" s="9">
        <v>1</v>
      </c>
      <c r="W983" s="9">
        <v>0</v>
      </c>
      <c r="X983" s="1">
        <f t="shared" si="8"/>
        <v>6</v>
      </c>
    </row>
    <row r="984" spans="2:24" ht="13.2" x14ac:dyDescent="0.25">
      <c r="B984" s="109"/>
      <c r="C984" s="9">
        <v>2019</v>
      </c>
      <c r="D984" s="9">
        <v>1</v>
      </c>
      <c r="E984" s="9">
        <v>0</v>
      </c>
      <c r="F984" s="9">
        <v>0</v>
      </c>
      <c r="G984" s="9">
        <v>1</v>
      </c>
      <c r="H984" s="9">
        <v>1</v>
      </c>
      <c r="I984" s="9">
        <v>0</v>
      </c>
      <c r="J984" s="9">
        <v>1</v>
      </c>
      <c r="K984" s="9">
        <v>0</v>
      </c>
      <c r="L984" s="9">
        <v>0</v>
      </c>
      <c r="M984" s="9">
        <v>1</v>
      </c>
      <c r="N984" s="9">
        <v>1</v>
      </c>
      <c r="O984" s="9">
        <v>1</v>
      </c>
      <c r="P984" s="9">
        <v>0</v>
      </c>
      <c r="Q984" s="9">
        <v>0</v>
      </c>
      <c r="R984" s="9">
        <v>0</v>
      </c>
      <c r="S984" s="9">
        <v>1</v>
      </c>
      <c r="T984" s="9">
        <v>1</v>
      </c>
      <c r="U984" s="9">
        <v>0</v>
      </c>
      <c r="V984" s="9">
        <v>1</v>
      </c>
      <c r="W984" s="9">
        <v>1</v>
      </c>
      <c r="X984" s="1">
        <f t="shared" si="8"/>
        <v>11</v>
      </c>
    </row>
    <row r="985" spans="2:24" ht="13.2" x14ac:dyDescent="0.25">
      <c r="B985" s="109"/>
      <c r="C985" s="9">
        <v>2020</v>
      </c>
      <c r="D985" s="9">
        <v>1</v>
      </c>
      <c r="E985" s="9">
        <v>1</v>
      </c>
      <c r="F985" s="9">
        <v>1</v>
      </c>
      <c r="G985" s="9">
        <v>1</v>
      </c>
      <c r="H985" s="9">
        <v>0</v>
      </c>
      <c r="I985" s="9">
        <v>1</v>
      </c>
      <c r="J985" s="9">
        <v>1</v>
      </c>
      <c r="K985" s="9">
        <v>0</v>
      </c>
      <c r="L985" s="9">
        <v>1</v>
      </c>
      <c r="M985" s="9">
        <v>0</v>
      </c>
      <c r="N985" s="9">
        <v>1</v>
      </c>
      <c r="O985" s="9">
        <v>1</v>
      </c>
      <c r="P985" s="9">
        <v>1</v>
      </c>
      <c r="Q985" s="9">
        <v>0</v>
      </c>
      <c r="R985" s="9">
        <v>0</v>
      </c>
      <c r="S985" s="9">
        <v>1</v>
      </c>
      <c r="T985" s="9">
        <v>1</v>
      </c>
      <c r="U985" s="9">
        <v>0</v>
      </c>
      <c r="V985" s="9">
        <v>1</v>
      </c>
      <c r="W985" s="9">
        <v>1</v>
      </c>
      <c r="X985" s="1">
        <f t="shared" si="8"/>
        <v>14</v>
      </c>
    </row>
    <row r="986" spans="2:24" ht="13.2" x14ac:dyDescent="0.25">
      <c r="B986" s="109"/>
      <c r="C986" s="9">
        <v>2021</v>
      </c>
      <c r="D986" s="9">
        <v>1</v>
      </c>
      <c r="E986" s="9">
        <v>0</v>
      </c>
      <c r="F986" s="9">
        <v>0</v>
      </c>
      <c r="G986" s="9">
        <v>0</v>
      </c>
      <c r="H986" s="9">
        <v>0</v>
      </c>
      <c r="I986" s="9">
        <v>0</v>
      </c>
      <c r="J986" s="9">
        <v>0</v>
      </c>
      <c r="K986" s="9">
        <v>1</v>
      </c>
      <c r="L986" s="9">
        <v>1</v>
      </c>
      <c r="M986" s="9">
        <v>0</v>
      </c>
      <c r="N986" s="9">
        <v>1</v>
      </c>
      <c r="O986" s="9">
        <v>1</v>
      </c>
      <c r="P986" s="9">
        <v>0</v>
      </c>
      <c r="Q986" s="9">
        <v>0</v>
      </c>
      <c r="R986" s="9">
        <v>1</v>
      </c>
      <c r="S986" s="9">
        <v>1</v>
      </c>
      <c r="T986" s="9">
        <v>1</v>
      </c>
      <c r="U986" s="9">
        <v>0</v>
      </c>
      <c r="V986" s="9">
        <v>0</v>
      </c>
      <c r="W986" s="9">
        <v>0</v>
      </c>
      <c r="X986" s="1">
        <f t="shared" si="8"/>
        <v>8</v>
      </c>
    </row>
    <row r="987" spans="2:24" ht="13.2" x14ac:dyDescent="0.25">
      <c r="B987" s="110"/>
      <c r="C987" s="9">
        <v>2022</v>
      </c>
      <c r="D987" s="9">
        <v>1</v>
      </c>
      <c r="E987" s="9">
        <v>1</v>
      </c>
      <c r="F987" s="9">
        <v>0</v>
      </c>
      <c r="G987" s="9">
        <v>1</v>
      </c>
      <c r="H987" s="9">
        <v>1</v>
      </c>
      <c r="I987" s="9">
        <v>0</v>
      </c>
      <c r="J987" s="9">
        <v>1</v>
      </c>
      <c r="K987" s="9">
        <v>1</v>
      </c>
      <c r="L987" s="9">
        <v>0</v>
      </c>
      <c r="M987" s="9">
        <v>1</v>
      </c>
      <c r="N987" s="9">
        <v>0</v>
      </c>
      <c r="O987" s="9">
        <v>1</v>
      </c>
      <c r="P987" s="9">
        <v>1</v>
      </c>
      <c r="Q987" s="9">
        <v>1</v>
      </c>
      <c r="R987" s="9">
        <v>1</v>
      </c>
      <c r="S987" s="9">
        <v>1</v>
      </c>
      <c r="T987" s="9">
        <v>0</v>
      </c>
      <c r="U987" s="9">
        <v>0</v>
      </c>
      <c r="V987" s="9">
        <v>1</v>
      </c>
      <c r="W987" s="9">
        <v>1</v>
      </c>
      <c r="X987" s="1">
        <f t="shared" si="8"/>
        <v>14</v>
      </c>
    </row>
    <row r="988" spans="2:24" ht="13.2" x14ac:dyDescent="0.25">
      <c r="B988" s="108" t="s">
        <v>81</v>
      </c>
      <c r="C988" s="9">
        <v>2018</v>
      </c>
      <c r="D988" s="9">
        <v>1</v>
      </c>
      <c r="E988" s="9">
        <v>1</v>
      </c>
      <c r="F988" s="9">
        <v>1</v>
      </c>
      <c r="G988" s="9">
        <v>0</v>
      </c>
      <c r="H988" s="9">
        <v>0</v>
      </c>
      <c r="I988" s="9">
        <v>1</v>
      </c>
      <c r="J988" s="9">
        <v>1</v>
      </c>
      <c r="K988" s="9">
        <v>1</v>
      </c>
      <c r="L988" s="9">
        <v>1</v>
      </c>
      <c r="M988" s="9">
        <v>0</v>
      </c>
      <c r="N988" s="9">
        <v>1</v>
      </c>
      <c r="O988" s="9">
        <v>1</v>
      </c>
      <c r="P988" s="9">
        <v>1</v>
      </c>
      <c r="Q988" s="9">
        <v>0</v>
      </c>
      <c r="R988" s="9">
        <v>0</v>
      </c>
      <c r="S988" s="9">
        <v>1</v>
      </c>
      <c r="T988" s="9">
        <v>1</v>
      </c>
      <c r="U988" s="9">
        <v>0</v>
      </c>
      <c r="V988" s="9">
        <v>1</v>
      </c>
      <c r="W988" s="9">
        <v>0</v>
      </c>
      <c r="X988" s="1">
        <f t="shared" si="8"/>
        <v>13</v>
      </c>
    </row>
    <row r="989" spans="2:24" ht="13.2" x14ac:dyDescent="0.25">
      <c r="B989" s="109"/>
      <c r="C989" s="9">
        <v>2019</v>
      </c>
      <c r="D989" s="9">
        <v>1</v>
      </c>
      <c r="E989" s="9">
        <v>1</v>
      </c>
      <c r="F989" s="9">
        <v>0</v>
      </c>
      <c r="G989" s="9">
        <v>0</v>
      </c>
      <c r="H989" s="9">
        <v>1</v>
      </c>
      <c r="I989" s="9">
        <v>0</v>
      </c>
      <c r="J989" s="9">
        <v>1</v>
      </c>
      <c r="K989" s="9">
        <v>0</v>
      </c>
      <c r="L989" s="9">
        <v>1</v>
      </c>
      <c r="M989" s="9">
        <v>0</v>
      </c>
      <c r="N989" s="9">
        <v>0</v>
      </c>
      <c r="O989" s="9">
        <v>0</v>
      </c>
      <c r="P989" s="9">
        <v>1</v>
      </c>
      <c r="Q989" s="9">
        <v>0</v>
      </c>
      <c r="R989" s="9">
        <v>1</v>
      </c>
      <c r="S989" s="9">
        <v>0</v>
      </c>
      <c r="T989" s="9">
        <v>1</v>
      </c>
      <c r="U989" s="9">
        <v>0</v>
      </c>
      <c r="V989" s="9">
        <v>1</v>
      </c>
      <c r="W989" s="9">
        <v>1</v>
      </c>
      <c r="X989" s="1">
        <f t="shared" si="8"/>
        <v>10</v>
      </c>
    </row>
    <row r="990" spans="2:24" ht="13.2" x14ac:dyDescent="0.25">
      <c r="B990" s="109"/>
      <c r="C990" s="9">
        <v>2020</v>
      </c>
      <c r="D990" s="9">
        <v>1</v>
      </c>
      <c r="E990" s="9">
        <v>0</v>
      </c>
      <c r="F990" s="9">
        <v>0</v>
      </c>
      <c r="G990" s="9">
        <v>1</v>
      </c>
      <c r="H990" s="9">
        <v>1</v>
      </c>
      <c r="I990" s="9">
        <v>1</v>
      </c>
      <c r="J990" s="9">
        <v>1</v>
      </c>
      <c r="K990" s="9">
        <v>0</v>
      </c>
      <c r="L990" s="9">
        <v>0</v>
      </c>
      <c r="M990" s="9">
        <v>1</v>
      </c>
      <c r="N990" s="9">
        <v>0</v>
      </c>
      <c r="O990" s="9">
        <v>1</v>
      </c>
      <c r="P990" s="9">
        <v>1</v>
      </c>
      <c r="Q990" s="9">
        <v>0</v>
      </c>
      <c r="R990" s="9">
        <v>0</v>
      </c>
      <c r="S990" s="9">
        <v>1</v>
      </c>
      <c r="T990" s="9">
        <v>1</v>
      </c>
      <c r="U990" s="9">
        <v>0</v>
      </c>
      <c r="V990" s="9">
        <v>0</v>
      </c>
      <c r="W990" s="9">
        <v>0</v>
      </c>
      <c r="X990" s="1">
        <f t="shared" si="8"/>
        <v>10</v>
      </c>
    </row>
    <row r="991" spans="2:24" ht="13.2" x14ac:dyDescent="0.25">
      <c r="B991" s="109"/>
      <c r="C991" s="9">
        <v>2021</v>
      </c>
      <c r="D991" s="9">
        <v>0</v>
      </c>
      <c r="E991" s="9">
        <v>1</v>
      </c>
      <c r="F991" s="9">
        <v>0</v>
      </c>
      <c r="G991" s="9">
        <v>1</v>
      </c>
      <c r="H991" s="9">
        <v>1</v>
      </c>
      <c r="I991" s="9">
        <v>0</v>
      </c>
      <c r="J991" s="9">
        <v>0</v>
      </c>
      <c r="K991" s="9">
        <v>1</v>
      </c>
      <c r="L991" s="9">
        <v>0</v>
      </c>
      <c r="M991" s="9">
        <v>1</v>
      </c>
      <c r="N991" s="9">
        <v>1</v>
      </c>
      <c r="O991" s="9">
        <v>0</v>
      </c>
      <c r="P991" s="9">
        <v>1</v>
      </c>
      <c r="Q991" s="9">
        <v>0</v>
      </c>
      <c r="R991" s="9">
        <v>1</v>
      </c>
      <c r="S991" s="9">
        <v>1</v>
      </c>
      <c r="T991" s="9">
        <v>1</v>
      </c>
      <c r="U991" s="9">
        <v>0</v>
      </c>
      <c r="V991" s="9">
        <v>0</v>
      </c>
      <c r="W991" s="9">
        <v>1</v>
      </c>
      <c r="X991" s="1">
        <f t="shared" si="8"/>
        <v>11</v>
      </c>
    </row>
    <row r="992" spans="2:24" ht="13.2" x14ac:dyDescent="0.25">
      <c r="B992" s="110"/>
      <c r="C992" s="9">
        <v>2022</v>
      </c>
      <c r="D992" s="9">
        <v>1</v>
      </c>
      <c r="E992" s="9">
        <v>1</v>
      </c>
      <c r="F992" s="9">
        <v>1</v>
      </c>
      <c r="G992" s="9">
        <v>1</v>
      </c>
      <c r="H992" s="9">
        <v>0</v>
      </c>
      <c r="I992" s="9">
        <v>1</v>
      </c>
      <c r="J992" s="9">
        <v>1</v>
      </c>
      <c r="K992" s="9">
        <v>0</v>
      </c>
      <c r="L992" s="9">
        <v>0</v>
      </c>
      <c r="M992" s="9">
        <v>0</v>
      </c>
      <c r="N992" s="9">
        <v>0</v>
      </c>
      <c r="O992" s="9">
        <v>1</v>
      </c>
      <c r="P992" s="9">
        <v>1</v>
      </c>
      <c r="Q992" s="9">
        <v>0</v>
      </c>
      <c r="R992" s="9">
        <v>1</v>
      </c>
      <c r="S992" s="9">
        <v>1</v>
      </c>
      <c r="T992" s="9">
        <v>1</v>
      </c>
      <c r="U992" s="9">
        <v>0</v>
      </c>
      <c r="V992" s="9">
        <v>1</v>
      </c>
      <c r="W992" s="9">
        <v>0</v>
      </c>
      <c r="X992" s="1">
        <f t="shared" si="8"/>
        <v>12</v>
      </c>
    </row>
    <row r="993" spans="2:24" ht="13.2" x14ac:dyDescent="0.25">
      <c r="B993" s="108" t="s">
        <v>98</v>
      </c>
      <c r="C993" s="9">
        <v>2018</v>
      </c>
      <c r="D993" s="9">
        <v>0</v>
      </c>
      <c r="E993" s="9">
        <v>1</v>
      </c>
      <c r="F993" s="9">
        <v>1</v>
      </c>
      <c r="G993" s="9">
        <v>0</v>
      </c>
      <c r="H993" s="9">
        <v>1</v>
      </c>
      <c r="I993" s="9">
        <v>0</v>
      </c>
      <c r="J993" s="9">
        <v>1</v>
      </c>
      <c r="K993" s="9">
        <v>1</v>
      </c>
      <c r="L993" s="9">
        <v>0</v>
      </c>
      <c r="M993" s="9">
        <v>0</v>
      </c>
      <c r="N993" s="9">
        <v>1</v>
      </c>
      <c r="O993" s="9">
        <v>0</v>
      </c>
      <c r="P993" s="9">
        <v>0</v>
      </c>
      <c r="Q993" s="9">
        <v>0</v>
      </c>
      <c r="R993" s="9">
        <v>1</v>
      </c>
      <c r="S993" s="9">
        <v>0</v>
      </c>
      <c r="T993" s="9">
        <v>1</v>
      </c>
      <c r="U993" s="9">
        <v>1</v>
      </c>
      <c r="V993" s="9">
        <v>1</v>
      </c>
      <c r="W993" s="9">
        <v>1</v>
      </c>
      <c r="X993" s="1">
        <f t="shared" si="8"/>
        <v>11</v>
      </c>
    </row>
    <row r="994" spans="2:24" ht="13.2" x14ac:dyDescent="0.25">
      <c r="B994" s="109"/>
      <c r="C994" s="9">
        <v>2019</v>
      </c>
      <c r="D994" s="9">
        <v>1</v>
      </c>
      <c r="E994" s="9">
        <v>0</v>
      </c>
      <c r="F994" s="9">
        <v>1</v>
      </c>
      <c r="G994" s="9">
        <v>0</v>
      </c>
      <c r="H994" s="9">
        <v>0</v>
      </c>
      <c r="I994" s="9">
        <v>0</v>
      </c>
      <c r="J994" s="9">
        <v>0</v>
      </c>
      <c r="K994" s="9">
        <v>0</v>
      </c>
      <c r="L994" s="9">
        <v>0</v>
      </c>
      <c r="M994" s="9">
        <v>0</v>
      </c>
      <c r="N994" s="9">
        <v>1</v>
      </c>
      <c r="O994" s="9">
        <v>0</v>
      </c>
      <c r="P994" s="9">
        <v>1</v>
      </c>
      <c r="Q994" s="9">
        <v>1</v>
      </c>
      <c r="R994" s="9">
        <v>0</v>
      </c>
      <c r="S994" s="9">
        <v>1</v>
      </c>
      <c r="T994" s="9">
        <v>1</v>
      </c>
      <c r="U994" s="9">
        <v>0</v>
      </c>
      <c r="V994" s="9">
        <v>0</v>
      </c>
      <c r="W994" s="9">
        <v>1</v>
      </c>
      <c r="X994" s="1">
        <f t="shared" si="8"/>
        <v>8</v>
      </c>
    </row>
    <row r="995" spans="2:24" ht="13.2" x14ac:dyDescent="0.25">
      <c r="B995" s="109"/>
      <c r="C995" s="9">
        <v>2020</v>
      </c>
      <c r="D995" s="9">
        <v>0</v>
      </c>
      <c r="E995" s="9">
        <v>0</v>
      </c>
      <c r="F995" s="9">
        <v>0</v>
      </c>
      <c r="G995" s="9">
        <v>0</v>
      </c>
      <c r="H995" s="9">
        <v>1</v>
      </c>
      <c r="I995" s="9">
        <v>0</v>
      </c>
      <c r="J995" s="9">
        <v>0</v>
      </c>
      <c r="K995" s="9">
        <v>1</v>
      </c>
      <c r="L995" s="9">
        <v>1</v>
      </c>
      <c r="M995" s="9">
        <v>1</v>
      </c>
      <c r="N995" s="9">
        <v>1</v>
      </c>
      <c r="O995" s="9">
        <v>0</v>
      </c>
      <c r="P995" s="9">
        <v>1</v>
      </c>
      <c r="Q995" s="9">
        <v>0</v>
      </c>
      <c r="R995" s="9">
        <v>1</v>
      </c>
      <c r="S995" s="9">
        <v>1</v>
      </c>
      <c r="T995" s="9">
        <v>0</v>
      </c>
      <c r="U995" s="9">
        <v>1</v>
      </c>
      <c r="V995" s="9">
        <v>1</v>
      </c>
      <c r="W995" s="9">
        <v>0</v>
      </c>
      <c r="X995" s="1">
        <f t="shared" si="8"/>
        <v>10</v>
      </c>
    </row>
    <row r="996" spans="2:24" ht="13.2" x14ac:dyDescent="0.25">
      <c r="B996" s="109"/>
      <c r="C996" s="9">
        <v>2021</v>
      </c>
      <c r="D996" s="9">
        <v>1</v>
      </c>
      <c r="E996" s="9">
        <v>0</v>
      </c>
      <c r="F996" s="9">
        <v>1</v>
      </c>
      <c r="G996" s="9">
        <v>1</v>
      </c>
      <c r="H996" s="9">
        <v>0</v>
      </c>
      <c r="I996" s="9">
        <v>1</v>
      </c>
      <c r="J996" s="9">
        <v>0</v>
      </c>
      <c r="K996" s="9">
        <v>0</v>
      </c>
      <c r="L996" s="9">
        <v>1</v>
      </c>
      <c r="M996" s="9">
        <v>0</v>
      </c>
      <c r="N996" s="9">
        <v>1</v>
      </c>
      <c r="O996" s="9">
        <v>0</v>
      </c>
      <c r="P996" s="9">
        <v>0</v>
      </c>
      <c r="Q996" s="9">
        <v>0</v>
      </c>
      <c r="R996" s="9">
        <v>1</v>
      </c>
      <c r="S996" s="9">
        <v>0</v>
      </c>
      <c r="T996" s="9">
        <v>0</v>
      </c>
      <c r="U996" s="9">
        <v>0</v>
      </c>
      <c r="V996" s="9">
        <v>0</v>
      </c>
      <c r="W996" s="9">
        <v>1</v>
      </c>
      <c r="X996" s="1">
        <f t="shared" si="8"/>
        <v>8</v>
      </c>
    </row>
    <row r="997" spans="2:24" ht="13.2" x14ac:dyDescent="0.25">
      <c r="B997" s="110"/>
      <c r="C997" s="9">
        <v>2022</v>
      </c>
      <c r="D997" s="9">
        <v>1</v>
      </c>
      <c r="E997" s="9">
        <v>1</v>
      </c>
      <c r="F997" s="9">
        <v>1</v>
      </c>
      <c r="G997" s="9">
        <v>0</v>
      </c>
      <c r="H997" s="9">
        <v>1</v>
      </c>
      <c r="I997" s="9">
        <v>0</v>
      </c>
      <c r="J997" s="9">
        <v>0</v>
      </c>
      <c r="K997" s="9">
        <v>0</v>
      </c>
      <c r="L997" s="9">
        <v>0</v>
      </c>
      <c r="M997" s="9">
        <v>1</v>
      </c>
      <c r="N997" s="9">
        <v>0</v>
      </c>
      <c r="O997" s="9">
        <v>0</v>
      </c>
      <c r="P997" s="9">
        <v>1</v>
      </c>
      <c r="Q997" s="9">
        <v>0</v>
      </c>
      <c r="R997" s="9">
        <v>0</v>
      </c>
      <c r="S997" s="9">
        <v>1</v>
      </c>
      <c r="T997" s="9">
        <v>0</v>
      </c>
      <c r="U997" s="9">
        <v>0</v>
      </c>
      <c r="V997" s="9">
        <v>1</v>
      </c>
      <c r="W997" s="9">
        <v>1</v>
      </c>
      <c r="X997" s="1">
        <f t="shared" si="8"/>
        <v>9</v>
      </c>
    </row>
    <row r="998" spans="2:24" ht="13.2" x14ac:dyDescent="0.25">
      <c r="B998" s="108" t="s">
        <v>114</v>
      </c>
      <c r="C998" s="9">
        <v>2018</v>
      </c>
      <c r="D998" s="9">
        <v>1</v>
      </c>
      <c r="E998" s="9">
        <v>1</v>
      </c>
      <c r="F998" s="9">
        <v>0</v>
      </c>
      <c r="G998" s="9">
        <v>0</v>
      </c>
      <c r="H998" s="9">
        <v>1</v>
      </c>
      <c r="I998" s="9">
        <v>1</v>
      </c>
      <c r="J998" s="9">
        <v>1</v>
      </c>
      <c r="K998" s="9">
        <v>1</v>
      </c>
      <c r="L998" s="9">
        <v>1</v>
      </c>
      <c r="M998" s="9">
        <v>0</v>
      </c>
      <c r="N998" s="9">
        <v>1</v>
      </c>
      <c r="O998" s="9">
        <v>0</v>
      </c>
      <c r="P998" s="9">
        <v>1</v>
      </c>
      <c r="Q998" s="9">
        <v>0</v>
      </c>
      <c r="R998" s="9">
        <v>1</v>
      </c>
      <c r="S998" s="9">
        <v>0</v>
      </c>
      <c r="T998" s="9">
        <v>0</v>
      </c>
      <c r="U998" s="9">
        <v>1</v>
      </c>
      <c r="V998" s="9">
        <v>0</v>
      </c>
      <c r="W998" s="9">
        <v>1</v>
      </c>
      <c r="X998" s="1">
        <f t="shared" si="8"/>
        <v>12</v>
      </c>
    </row>
    <row r="999" spans="2:24" ht="13.2" x14ac:dyDescent="0.25">
      <c r="B999" s="109"/>
      <c r="C999" s="9">
        <v>2019</v>
      </c>
      <c r="D999" s="9">
        <v>0</v>
      </c>
      <c r="E999" s="9">
        <v>1</v>
      </c>
      <c r="F999" s="9">
        <v>0</v>
      </c>
      <c r="G999" s="9">
        <v>0</v>
      </c>
      <c r="H999" s="9">
        <v>0</v>
      </c>
      <c r="I999" s="9">
        <v>0</v>
      </c>
      <c r="J999" s="9">
        <v>1</v>
      </c>
      <c r="K999" s="9">
        <v>1</v>
      </c>
      <c r="L999" s="9">
        <v>0</v>
      </c>
      <c r="M999" s="9">
        <v>1</v>
      </c>
      <c r="N999" s="9">
        <v>1</v>
      </c>
      <c r="O999" s="9">
        <v>0</v>
      </c>
      <c r="P999" s="9">
        <v>1</v>
      </c>
      <c r="Q999" s="9">
        <v>1</v>
      </c>
      <c r="R999" s="9">
        <v>1</v>
      </c>
      <c r="S999" s="9">
        <v>1</v>
      </c>
      <c r="T999" s="9">
        <v>1</v>
      </c>
      <c r="U999" s="9">
        <v>1</v>
      </c>
      <c r="V999" s="9">
        <v>1</v>
      </c>
      <c r="W999" s="9">
        <v>1</v>
      </c>
      <c r="X999" s="1">
        <f t="shared" si="8"/>
        <v>13</v>
      </c>
    </row>
    <row r="1000" spans="2:24" ht="13.2" x14ac:dyDescent="0.25">
      <c r="B1000" s="109"/>
      <c r="C1000" s="9">
        <v>2020</v>
      </c>
      <c r="D1000" s="9">
        <v>1</v>
      </c>
      <c r="E1000" s="9">
        <v>0</v>
      </c>
      <c r="F1000" s="9">
        <v>1</v>
      </c>
      <c r="G1000" s="9">
        <v>0</v>
      </c>
      <c r="H1000" s="9">
        <v>0</v>
      </c>
      <c r="I1000" s="9">
        <v>0</v>
      </c>
      <c r="J1000" s="9">
        <v>1</v>
      </c>
      <c r="K1000" s="9">
        <v>1</v>
      </c>
      <c r="L1000" s="9">
        <v>0</v>
      </c>
      <c r="M1000" s="9">
        <v>1</v>
      </c>
      <c r="N1000" s="9">
        <v>0</v>
      </c>
      <c r="O1000" s="9">
        <v>0</v>
      </c>
      <c r="P1000" s="9">
        <v>1</v>
      </c>
      <c r="Q1000" s="9">
        <v>1</v>
      </c>
      <c r="R1000" s="9">
        <v>0</v>
      </c>
      <c r="S1000" s="9">
        <v>1</v>
      </c>
      <c r="T1000" s="9">
        <v>0</v>
      </c>
      <c r="U1000" s="9">
        <v>1</v>
      </c>
      <c r="V1000" s="9">
        <v>1</v>
      </c>
      <c r="W1000" s="9">
        <v>1</v>
      </c>
      <c r="X1000" s="1">
        <f t="shared" si="8"/>
        <v>11</v>
      </c>
    </row>
    <row r="1001" spans="2:24" ht="13.2" x14ac:dyDescent="0.25">
      <c r="B1001" s="109"/>
      <c r="C1001" s="9">
        <v>2021</v>
      </c>
      <c r="D1001" s="9">
        <v>1</v>
      </c>
      <c r="E1001" s="9">
        <v>1</v>
      </c>
      <c r="F1001" s="9">
        <v>1</v>
      </c>
      <c r="G1001" s="9">
        <v>1</v>
      </c>
      <c r="H1001" s="9">
        <v>1</v>
      </c>
      <c r="I1001" s="9">
        <v>0</v>
      </c>
      <c r="J1001" s="9">
        <v>1</v>
      </c>
      <c r="K1001" s="9">
        <v>1</v>
      </c>
      <c r="L1001" s="9">
        <v>1</v>
      </c>
      <c r="M1001" s="9">
        <v>1</v>
      </c>
      <c r="N1001" s="9">
        <v>1</v>
      </c>
      <c r="O1001" s="9">
        <v>0</v>
      </c>
      <c r="P1001" s="9">
        <v>0</v>
      </c>
      <c r="Q1001" s="9">
        <v>0</v>
      </c>
      <c r="R1001" s="9">
        <v>1</v>
      </c>
      <c r="S1001" s="9">
        <v>1</v>
      </c>
      <c r="T1001" s="9">
        <v>1</v>
      </c>
      <c r="U1001" s="9">
        <v>0</v>
      </c>
      <c r="V1001" s="9">
        <v>0</v>
      </c>
      <c r="W1001" s="9">
        <v>0</v>
      </c>
      <c r="X1001" s="1">
        <f t="shared" si="8"/>
        <v>13</v>
      </c>
    </row>
    <row r="1002" spans="2:24" ht="13.2" x14ac:dyDescent="0.25">
      <c r="B1002" s="110"/>
      <c r="C1002" s="9">
        <v>2022</v>
      </c>
      <c r="D1002" s="9">
        <v>0</v>
      </c>
      <c r="E1002" s="9">
        <v>1</v>
      </c>
      <c r="F1002" s="9">
        <v>0</v>
      </c>
      <c r="G1002" s="9">
        <v>1</v>
      </c>
      <c r="H1002" s="9">
        <v>1</v>
      </c>
      <c r="I1002" s="9">
        <v>1</v>
      </c>
      <c r="J1002" s="9">
        <v>1</v>
      </c>
      <c r="K1002" s="9">
        <v>0</v>
      </c>
      <c r="L1002" s="9">
        <v>1</v>
      </c>
      <c r="M1002" s="9">
        <v>1</v>
      </c>
      <c r="N1002" s="9">
        <v>0</v>
      </c>
      <c r="O1002" s="9">
        <v>0</v>
      </c>
      <c r="P1002" s="9">
        <v>1</v>
      </c>
      <c r="Q1002" s="9">
        <v>0</v>
      </c>
      <c r="R1002" s="9">
        <v>0</v>
      </c>
      <c r="S1002" s="9">
        <v>1</v>
      </c>
      <c r="T1002" s="9">
        <v>1</v>
      </c>
      <c r="U1002" s="9">
        <v>0</v>
      </c>
      <c r="V1002" s="9">
        <v>1</v>
      </c>
      <c r="W1002" s="9">
        <v>1</v>
      </c>
      <c r="X1002" s="1">
        <f t="shared" si="8"/>
        <v>12</v>
      </c>
    </row>
    <row r="1003" spans="2:24" ht="13.2" x14ac:dyDescent="0.25">
      <c r="B1003" s="108" t="s">
        <v>129</v>
      </c>
      <c r="C1003" s="9">
        <v>2018</v>
      </c>
      <c r="D1003" s="9">
        <v>1</v>
      </c>
      <c r="E1003" s="9">
        <v>0</v>
      </c>
      <c r="F1003" s="9">
        <v>1</v>
      </c>
      <c r="G1003" s="9">
        <v>1</v>
      </c>
      <c r="H1003" s="9">
        <v>0</v>
      </c>
      <c r="I1003" s="9">
        <v>0</v>
      </c>
      <c r="J1003" s="9">
        <v>1</v>
      </c>
      <c r="K1003" s="9">
        <v>0</v>
      </c>
      <c r="L1003" s="9">
        <v>0</v>
      </c>
      <c r="M1003" s="9">
        <v>1</v>
      </c>
      <c r="N1003" s="9">
        <v>1</v>
      </c>
      <c r="O1003" s="9">
        <v>1</v>
      </c>
      <c r="P1003" s="9">
        <v>1</v>
      </c>
      <c r="Q1003" s="9">
        <v>1</v>
      </c>
      <c r="R1003" s="9">
        <v>1</v>
      </c>
      <c r="S1003" s="9">
        <v>1</v>
      </c>
      <c r="T1003" s="9">
        <v>1</v>
      </c>
      <c r="U1003" s="9">
        <v>1</v>
      </c>
      <c r="V1003" s="9">
        <v>1</v>
      </c>
      <c r="W1003" s="9">
        <v>1</v>
      </c>
      <c r="X1003" s="1">
        <f t="shared" si="8"/>
        <v>15</v>
      </c>
    </row>
    <row r="1004" spans="2:24" ht="13.2" x14ac:dyDescent="0.25">
      <c r="B1004" s="109"/>
      <c r="C1004" s="9">
        <v>2019</v>
      </c>
      <c r="D1004" s="9">
        <v>1</v>
      </c>
      <c r="E1004" s="9">
        <v>0</v>
      </c>
      <c r="F1004" s="9">
        <v>1</v>
      </c>
      <c r="G1004" s="9">
        <v>1</v>
      </c>
      <c r="H1004" s="9">
        <v>0</v>
      </c>
      <c r="I1004" s="9">
        <v>1</v>
      </c>
      <c r="J1004" s="9">
        <v>1</v>
      </c>
      <c r="K1004" s="9">
        <v>0</v>
      </c>
      <c r="L1004" s="9">
        <v>0</v>
      </c>
      <c r="M1004" s="9">
        <v>0</v>
      </c>
      <c r="N1004" s="9">
        <v>1</v>
      </c>
      <c r="O1004" s="9">
        <v>0</v>
      </c>
      <c r="P1004" s="9">
        <v>1</v>
      </c>
      <c r="Q1004" s="9">
        <v>0</v>
      </c>
      <c r="R1004" s="9">
        <v>0</v>
      </c>
      <c r="S1004" s="9">
        <v>1</v>
      </c>
      <c r="T1004" s="9">
        <v>0</v>
      </c>
      <c r="U1004" s="9">
        <v>1</v>
      </c>
      <c r="V1004" s="9">
        <v>0</v>
      </c>
      <c r="W1004" s="9">
        <v>0</v>
      </c>
      <c r="X1004" s="1">
        <f t="shared" si="8"/>
        <v>9</v>
      </c>
    </row>
    <row r="1005" spans="2:24" ht="13.2" x14ac:dyDescent="0.25">
      <c r="B1005" s="109"/>
      <c r="C1005" s="9">
        <v>2020</v>
      </c>
      <c r="D1005" s="9">
        <v>0</v>
      </c>
      <c r="E1005" s="9">
        <v>0</v>
      </c>
      <c r="F1005" s="9">
        <v>1</v>
      </c>
      <c r="G1005" s="9">
        <v>1</v>
      </c>
      <c r="H1005" s="9">
        <v>0</v>
      </c>
      <c r="I1005" s="9">
        <v>0</v>
      </c>
      <c r="J1005" s="9">
        <v>0</v>
      </c>
      <c r="K1005" s="9">
        <v>1</v>
      </c>
      <c r="L1005" s="9">
        <v>1</v>
      </c>
      <c r="M1005" s="9">
        <v>0</v>
      </c>
      <c r="N1005" s="9">
        <v>1</v>
      </c>
      <c r="O1005" s="9">
        <v>0</v>
      </c>
      <c r="P1005" s="9">
        <v>1</v>
      </c>
      <c r="Q1005" s="9">
        <v>0</v>
      </c>
      <c r="R1005" s="9">
        <v>1</v>
      </c>
      <c r="S1005" s="9">
        <v>0</v>
      </c>
      <c r="T1005" s="9">
        <v>1</v>
      </c>
      <c r="U1005" s="9">
        <v>0</v>
      </c>
      <c r="V1005" s="9">
        <v>0</v>
      </c>
      <c r="W1005" s="9">
        <v>1</v>
      </c>
      <c r="X1005" s="1">
        <f t="shared" si="8"/>
        <v>9</v>
      </c>
    </row>
    <row r="1006" spans="2:24" ht="13.2" x14ac:dyDescent="0.25">
      <c r="B1006" s="109"/>
      <c r="C1006" s="9">
        <v>2021</v>
      </c>
      <c r="D1006" s="9">
        <v>1</v>
      </c>
      <c r="E1006" s="9">
        <v>1</v>
      </c>
      <c r="F1006" s="9">
        <v>1</v>
      </c>
      <c r="G1006" s="9">
        <v>1</v>
      </c>
      <c r="H1006" s="9">
        <v>1</v>
      </c>
      <c r="I1006" s="9">
        <v>0</v>
      </c>
      <c r="J1006" s="9">
        <v>1</v>
      </c>
      <c r="K1006" s="9">
        <v>1</v>
      </c>
      <c r="L1006" s="9">
        <v>1</v>
      </c>
      <c r="M1006" s="9">
        <v>0</v>
      </c>
      <c r="N1006" s="9">
        <v>0</v>
      </c>
      <c r="O1006" s="9">
        <v>0</v>
      </c>
      <c r="P1006" s="9">
        <v>1</v>
      </c>
      <c r="Q1006" s="9">
        <v>1</v>
      </c>
      <c r="R1006" s="9">
        <v>1</v>
      </c>
      <c r="S1006" s="9">
        <v>1</v>
      </c>
      <c r="T1006" s="9">
        <v>1</v>
      </c>
      <c r="U1006" s="9">
        <v>0</v>
      </c>
      <c r="V1006" s="9">
        <v>0</v>
      </c>
      <c r="W1006" s="9">
        <v>0</v>
      </c>
      <c r="X1006" s="1">
        <f t="shared" si="8"/>
        <v>13</v>
      </c>
    </row>
    <row r="1007" spans="2:24" ht="13.2" x14ac:dyDescent="0.25">
      <c r="B1007" s="110"/>
      <c r="C1007" s="9">
        <v>2022</v>
      </c>
      <c r="D1007" s="9">
        <v>0</v>
      </c>
      <c r="E1007" s="9">
        <v>0</v>
      </c>
      <c r="F1007" s="9">
        <v>0</v>
      </c>
      <c r="G1007" s="9">
        <v>0</v>
      </c>
      <c r="H1007" s="9">
        <v>1</v>
      </c>
      <c r="I1007" s="9">
        <v>0</v>
      </c>
      <c r="J1007" s="9">
        <v>0</v>
      </c>
      <c r="K1007" s="9">
        <v>1</v>
      </c>
      <c r="L1007" s="9">
        <v>1</v>
      </c>
      <c r="M1007" s="9">
        <v>0</v>
      </c>
      <c r="N1007" s="9">
        <v>0</v>
      </c>
      <c r="O1007" s="9">
        <v>1</v>
      </c>
      <c r="P1007" s="9">
        <v>0</v>
      </c>
      <c r="Q1007" s="9">
        <v>1</v>
      </c>
      <c r="R1007" s="9">
        <v>0</v>
      </c>
      <c r="S1007" s="9">
        <v>0</v>
      </c>
      <c r="T1007" s="9">
        <v>1</v>
      </c>
      <c r="U1007" s="9">
        <v>1</v>
      </c>
      <c r="V1007" s="9">
        <v>0</v>
      </c>
      <c r="W1007" s="9">
        <v>1</v>
      </c>
      <c r="X1007" s="1">
        <f t="shared" si="8"/>
        <v>8</v>
      </c>
    </row>
    <row r="1008" spans="2:24" ht="13.2" x14ac:dyDescent="0.25">
      <c r="B1008" s="108" t="s">
        <v>140</v>
      </c>
      <c r="C1008" s="9">
        <v>2018</v>
      </c>
      <c r="D1008" s="9">
        <v>1</v>
      </c>
      <c r="E1008" s="9">
        <v>0</v>
      </c>
      <c r="F1008" s="9">
        <v>1</v>
      </c>
      <c r="G1008" s="9">
        <v>0</v>
      </c>
      <c r="H1008" s="9">
        <v>0</v>
      </c>
      <c r="I1008" s="9">
        <v>0</v>
      </c>
      <c r="J1008" s="9">
        <v>0</v>
      </c>
      <c r="K1008" s="9">
        <v>0</v>
      </c>
      <c r="L1008" s="9">
        <v>0</v>
      </c>
      <c r="M1008" s="9">
        <v>0</v>
      </c>
      <c r="N1008" s="9">
        <v>0</v>
      </c>
      <c r="O1008" s="9">
        <v>1</v>
      </c>
      <c r="P1008" s="9">
        <v>0</v>
      </c>
      <c r="Q1008" s="9">
        <v>0</v>
      </c>
      <c r="R1008" s="9">
        <v>1</v>
      </c>
      <c r="S1008" s="9">
        <v>0</v>
      </c>
      <c r="T1008" s="9">
        <v>0</v>
      </c>
      <c r="U1008" s="9">
        <v>0</v>
      </c>
      <c r="V1008" s="9">
        <v>0</v>
      </c>
      <c r="W1008" s="9">
        <v>1</v>
      </c>
      <c r="X1008" s="1">
        <f t="shared" si="8"/>
        <v>5</v>
      </c>
    </row>
    <row r="1009" spans="2:24" ht="13.2" x14ac:dyDescent="0.25">
      <c r="B1009" s="109"/>
      <c r="C1009" s="9">
        <v>2019</v>
      </c>
      <c r="D1009" s="9">
        <v>0</v>
      </c>
      <c r="E1009" s="9">
        <v>0</v>
      </c>
      <c r="F1009" s="9">
        <v>0</v>
      </c>
      <c r="G1009" s="9">
        <v>0</v>
      </c>
      <c r="H1009" s="9">
        <v>1</v>
      </c>
      <c r="I1009" s="9">
        <v>1</v>
      </c>
      <c r="J1009" s="9">
        <v>1</v>
      </c>
      <c r="K1009" s="9">
        <v>0</v>
      </c>
      <c r="L1009" s="9">
        <v>1</v>
      </c>
      <c r="M1009" s="9">
        <v>0</v>
      </c>
      <c r="N1009" s="9">
        <v>0</v>
      </c>
      <c r="O1009" s="9">
        <v>0</v>
      </c>
      <c r="P1009" s="9">
        <v>0</v>
      </c>
      <c r="Q1009" s="9">
        <v>1</v>
      </c>
      <c r="R1009" s="9">
        <v>1</v>
      </c>
      <c r="S1009" s="9">
        <v>0</v>
      </c>
      <c r="T1009" s="9">
        <v>0</v>
      </c>
      <c r="U1009" s="9">
        <v>0</v>
      </c>
      <c r="V1009" s="9">
        <v>1</v>
      </c>
      <c r="W1009" s="9">
        <v>1</v>
      </c>
      <c r="X1009" s="1">
        <f t="shared" si="8"/>
        <v>8</v>
      </c>
    </row>
    <row r="1010" spans="2:24" ht="13.2" x14ac:dyDescent="0.25">
      <c r="B1010" s="109"/>
      <c r="C1010" s="9">
        <v>2020</v>
      </c>
      <c r="D1010" s="9">
        <v>0</v>
      </c>
      <c r="E1010" s="9">
        <v>1</v>
      </c>
      <c r="F1010" s="9">
        <v>1</v>
      </c>
      <c r="G1010" s="9">
        <v>1</v>
      </c>
      <c r="H1010" s="9">
        <v>1</v>
      </c>
      <c r="I1010" s="9">
        <v>1</v>
      </c>
      <c r="J1010" s="9">
        <v>0</v>
      </c>
      <c r="K1010" s="9">
        <v>0</v>
      </c>
      <c r="L1010" s="9">
        <v>0</v>
      </c>
      <c r="M1010" s="9">
        <v>1</v>
      </c>
      <c r="N1010" s="9">
        <v>1</v>
      </c>
      <c r="O1010" s="9">
        <v>1</v>
      </c>
      <c r="P1010" s="9">
        <v>0</v>
      </c>
      <c r="Q1010" s="9">
        <v>0</v>
      </c>
      <c r="R1010" s="9">
        <v>1</v>
      </c>
      <c r="S1010" s="9">
        <v>0</v>
      </c>
      <c r="T1010" s="9">
        <v>0</v>
      </c>
      <c r="U1010" s="9">
        <v>0</v>
      </c>
      <c r="V1010" s="9">
        <v>1</v>
      </c>
      <c r="W1010" s="9">
        <v>1</v>
      </c>
      <c r="X1010" s="1">
        <f t="shared" si="8"/>
        <v>11</v>
      </c>
    </row>
    <row r="1011" spans="2:24" ht="13.2" x14ac:dyDescent="0.25">
      <c r="B1011" s="109"/>
      <c r="C1011" s="9">
        <v>2021</v>
      </c>
      <c r="D1011" s="9">
        <v>0</v>
      </c>
      <c r="E1011" s="9">
        <v>1</v>
      </c>
      <c r="F1011" s="9">
        <v>0</v>
      </c>
      <c r="G1011" s="9">
        <v>0</v>
      </c>
      <c r="H1011" s="9">
        <v>1</v>
      </c>
      <c r="I1011" s="9">
        <v>1</v>
      </c>
      <c r="J1011" s="9">
        <v>1</v>
      </c>
      <c r="K1011" s="9">
        <v>0</v>
      </c>
      <c r="L1011" s="9">
        <v>1</v>
      </c>
      <c r="M1011" s="9">
        <v>0</v>
      </c>
      <c r="N1011" s="9">
        <v>1</v>
      </c>
      <c r="O1011" s="9">
        <v>1</v>
      </c>
      <c r="P1011" s="9">
        <v>1</v>
      </c>
      <c r="Q1011" s="9">
        <v>0</v>
      </c>
      <c r="R1011" s="9">
        <v>0</v>
      </c>
      <c r="S1011" s="9">
        <v>0</v>
      </c>
      <c r="T1011" s="9">
        <v>0</v>
      </c>
      <c r="U1011" s="9">
        <v>1</v>
      </c>
      <c r="V1011" s="9">
        <v>1</v>
      </c>
      <c r="W1011" s="9">
        <v>0</v>
      </c>
      <c r="X1011" s="1">
        <f t="shared" si="8"/>
        <v>10</v>
      </c>
    </row>
    <row r="1012" spans="2:24" ht="13.2" x14ac:dyDescent="0.25">
      <c r="B1012" s="110"/>
      <c r="C1012" s="9">
        <v>2022</v>
      </c>
      <c r="D1012" s="9">
        <v>1</v>
      </c>
      <c r="E1012" s="9">
        <v>0</v>
      </c>
      <c r="F1012" s="9">
        <v>1</v>
      </c>
      <c r="G1012" s="9">
        <v>1</v>
      </c>
      <c r="H1012" s="9">
        <v>1</v>
      </c>
      <c r="I1012" s="9">
        <v>1</v>
      </c>
      <c r="J1012" s="9">
        <v>0</v>
      </c>
      <c r="K1012" s="9">
        <v>1</v>
      </c>
      <c r="L1012" s="9">
        <v>1</v>
      </c>
      <c r="M1012" s="9">
        <v>0</v>
      </c>
      <c r="N1012" s="9">
        <v>1</v>
      </c>
      <c r="O1012" s="9">
        <v>0</v>
      </c>
      <c r="P1012" s="9">
        <v>1</v>
      </c>
      <c r="Q1012" s="9">
        <v>1</v>
      </c>
      <c r="R1012" s="9">
        <v>0</v>
      </c>
      <c r="S1012" s="9">
        <v>0</v>
      </c>
      <c r="T1012" s="9">
        <v>1</v>
      </c>
      <c r="U1012" s="9">
        <v>0</v>
      </c>
      <c r="V1012" s="9">
        <v>0</v>
      </c>
      <c r="W1012" s="9">
        <v>1</v>
      </c>
      <c r="X1012" s="1">
        <f t="shared" si="8"/>
        <v>12</v>
      </c>
    </row>
    <row r="1013" spans="2:24" ht="13.2" x14ac:dyDescent="0.25">
      <c r="B1013" s="108" t="s">
        <v>150</v>
      </c>
      <c r="C1013" s="9">
        <v>2018</v>
      </c>
      <c r="D1013" s="9">
        <v>0</v>
      </c>
      <c r="E1013" s="9">
        <v>0</v>
      </c>
      <c r="F1013" s="9">
        <v>1</v>
      </c>
      <c r="G1013" s="9">
        <v>1</v>
      </c>
      <c r="H1013" s="9">
        <v>1</v>
      </c>
      <c r="I1013" s="9">
        <v>1</v>
      </c>
      <c r="J1013" s="9">
        <v>0</v>
      </c>
      <c r="K1013" s="9">
        <v>1</v>
      </c>
      <c r="L1013" s="9">
        <v>0</v>
      </c>
      <c r="M1013" s="9">
        <v>0</v>
      </c>
      <c r="N1013" s="9">
        <v>0</v>
      </c>
      <c r="O1013" s="9">
        <v>0</v>
      </c>
      <c r="P1013" s="9">
        <v>0</v>
      </c>
      <c r="Q1013" s="9">
        <v>0</v>
      </c>
      <c r="R1013" s="9">
        <v>0</v>
      </c>
      <c r="S1013" s="9">
        <v>0</v>
      </c>
      <c r="T1013" s="9">
        <v>1</v>
      </c>
      <c r="U1013" s="9">
        <v>0</v>
      </c>
      <c r="V1013" s="9">
        <v>1</v>
      </c>
      <c r="W1013" s="9">
        <v>0</v>
      </c>
      <c r="X1013" s="1">
        <f t="shared" si="8"/>
        <v>7</v>
      </c>
    </row>
    <row r="1014" spans="2:24" ht="13.2" x14ac:dyDescent="0.25">
      <c r="B1014" s="109"/>
      <c r="C1014" s="9">
        <v>2019</v>
      </c>
      <c r="D1014" s="9">
        <v>1</v>
      </c>
      <c r="E1014" s="9">
        <v>0</v>
      </c>
      <c r="F1014" s="9">
        <v>0</v>
      </c>
      <c r="G1014" s="9">
        <v>1</v>
      </c>
      <c r="H1014" s="9">
        <v>0</v>
      </c>
      <c r="I1014" s="9">
        <v>0</v>
      </c>
      <c r="J1014" s="9">
        <v>0</v>
      </c>
      <c r="K1014" s="9">
        <v>1</v>
      </c>
      <c r="L1014" s="9">
        <v>1</v>
      </c>
      <c r="M1014" s="9">
        <v>1</v>
      </c>
      <c r="N1014" s="9">
        <v>1</v>
      </c>
      <c r="O1014" s="9">
        <v>1</v>
      </c>
      <c r="P1014" s="9">
        <v>0</v>
      </c>
      <c r="Q1014" s="9">
        <v>1</v>
      </c>
      <c r="R1014" s="9">
        <v>0</v>
      </c>
      <c r="S1014" s="9">
        <v>1</v>
      </c>
      <c r="T1014" s="9">
        <v>0</v>
      </c>
      <c r="U1014" s="9">
        <v>1</v>
      </c>
      <c r="V1014" s="9">
        <v>1</v>
      </c>
      <c r="W1014" s="9">
        <v>0</v>
      </c>
      <c r="X1014" s="1">
        <f t="shared" si="8"/>
        <v>11</v>
      </c>
    </row>
    <row r="1015" spans="2:24" ht="13.2" x14ac:dyDescent="0.25">
      <c r="B1015" s="109"/>
      <c r="C1015" s="9">
        <v>2020</v>
      </c>
      <c r="D1015" s="9">
        <v>1</v>
      </c>
      <c r="E1015" s="9">
        <v>1</v>
      </c>
      <c r="F1015" s="9">
        <v>1</v>
      </c>
      <c r="G1015" s="9">
        <v>0</v>
      </c>
      <c r="H1015" s="9">
        <v>0</v>
      </c>
      <c r="I1015" s="9">
        <v>1</v>
      </c>
      <c r="J1015" s="9">
        <v>1</v>
      </c>
      <c r="K1015" s="9">
        <v>1</v>
      </c>
      <c r="L1015" s="9">
        <v>0</v>
      </c>
      <c r="M1015" s="9">
        <v>0</v>
      </c>
      <c r="N1015" s="9">
        <v>0</v>
      </c>
      <c r="O1015" s="9">
        <v>1</v>
      </c>
      <c r="P1015" s="9">
        <v>1</v>
      </c>
      <c r="Q1015" s="9">
        <v>1</v>
      </c>
      <c r="R1015" s="9">
        <v>1</v>
      </c>
      <c r="S1015" s="9">
        <v>1</v>
      </c>
      <c r="T1015" s="9">
        <v>0</v>
      </c>
      <c r="U1015" s="9">
        <v>1</v>
      </c>
      <c r="V1015" s="9">
        <v>0</v>
      </c>
      <c r="W1015" s="9">
        <v>1</v>
      </c>
      <c r="X1015" s="1">
        <f t="shared" si="8"/>
        <v>13</v>
      </c>
    </row>
    <row r="1016" spans="2:24" ht="13.2" x14ac:dyDescent="0.25">
      <c r="B1016" s="109"/>
      <c r="C1016" s="9">
        <v>2021</v>
      </c>
      <c r="D1016" s="9">
        <v>0</v>
      </c>
      <c r="E1016" s="9">
        <v>0</v>
      </c>
      <c r="F1016" s="9">
        <v>0</v>
      </c>
      <c r="G1016" s="9">
        <v>0</v>
      </c>
      <c r="H1016" s="9">
        <v>0</v>
      </c>
      <c r="I1016" s="9">
        <v>1</v>
      </c>
      <c r="J1016" s="9">
        <v>1</v>
      </c>
      <c r="K1016" s="9">
        <v>1</v>
      </c>
      <c r="L1016" s="9">
        <v>0</v>
      </c>
      <c r="M1016" s="9">
        <v>1</v>
      </c>
      <c r="N1016" s="9">
        <v>1</v>
      </c>
      <c r="O1016" s="9">
        <v>0</v>
      </c>
      <c r="P1016" s="9">
        <v>1</v>
      </c>
      <c r="Q1016" s="9">
        <v>1</v>
      </c>
      <c r="R1016" s="9">
        <v>1</v>
      </c>
      <c r="S1016" s="9">
        <v>1</v>
      </c>
      <c r="T1016" s="9">
        <v>1</v>
      </c>
      <c r="U1016" s="9">
        <v>1</v>
      </c>
      <c r="V1016" s="9">
        <v>0</v>
      </c>
      <c r="W1016" s="9">
        <v>0</v>
      </c>
      <c r="X1016" s="1">
        <f t="shared" si="8"/>
        <v>11</v>
      </c>
    </row>
    <row r="1017" spans="2:24" ht="13.2" x14ac:dyDescent="0.25">
      <c r="B1017" s="110"/>
      <c r="C1017" s="9">
        <v>2022</v>
      </c>
      <c r="D1017" s="9">
        <v>0</v>
      </c>
      <c r="E1017" s="9">
        <v>0</v>
      </c>
      <c r="F1017" s="9">
        <v>0</v>
      </c>
      <c r="G1017" s="9">
        <v>1</v>
      </c>
      <c r="H1017" s="9">
        <v>1</v>
      </c>
      <c r="I1017" s="9">
        <v>0</v>
      </c>
      <c r="J1017" s="9">
        <v>0</v>
      </c>
      <c r="K1017" s="9">
        <v>0</v>
      </c>
      <c r="L1017" s="9">
        <v>1</v>
      </c>
      <c r="M1017" s="9">
        <v>0</v>
      </c>
      <c r="N1017" s="9">
        <v>1</v>
      </c>
      <c r="O1017" s="9">
        <v>1</v>
      </c>
      <c r="P1017" s="9">
        <v>1</v>
      </c>
      <c r="Q1017" s="9">
        <v>1</v>
      </c>
      <c r="R1017" s="9">
        <v>0</v>
      </c>
      <c r="S1017" s="9">
        <v>0</v>
      </c>
      <c r="T1017" s="9">
        <v>0</v>
      </c>
      <c r="U1017" s="9">
        <v>1</v>
      </c>
      <c r="V1017" s="9">
        <v>0</v>
      </c>
      <c r="W1017" s="9">
        <v>1</v>
      </c>
      <c r="X1017" s="1">
        <f t="shared" si="8"/>
        <v>9</v>
      </c>
    </row>
    <row r="1018" spans="2:24" ht="13.2" x14ac:dyDescent="0.25">
      <c r="B1018" s="108" t="s">
        <v>156</v>
      </c>
      <c r="C1018" s="9">
        <v>2018</v>
      </c>
      <c r="D1018" s="9">
        <v>1</v>
      </c>
      <c r="E1018" s="9">
        <v>1</v>
      </c>
      <c r="F1018" s="9">
        <v>0</v>
      </c>
      <c r="G1018" s="9">
        <v>1</v>
      </c>
      <c r="H1018" s="9">
        <v>0</v>
      </c>
      <c r="I1018" s="9">
        <v>0</v>
      </c>
      <c r="J1018" s="9">
        <v>1</v>
      </c>
      <c r="K1018" s="9">
        <v>1</v>
      </c>
      <c r="L1018" s="9">
        <v>1</v>
      </c>
      <c r="M1018" s="9">
        <v>1</v>
      </c>
      <c r="N1018" s="9">
        <v>1</v>
      </c>
      <c r="O1018" s="9">
        <v>1</v>
      </c>
      <c r="P1018" s="9">
        <v>1</v>
      </c>
      <c r="Q1018" s="9">
        <v>1</v>
      </c>
      <c r="R1018" s="9">
        <v>0</v>
      </c>
      <c r="S1018" s="9">
        <v>0</v>
      </c>
      <c r="T1018" s="9">
        <v>0</v>
      </c>
      <c r="U1018" s="9">
        <v>0</v>
      </c>
      <c r="V1018" s="9">
        <v>1</v>
      </c>
      <c r="W1018" s="9">
        <v>0</v>
      </c>
      <c r="X1018" s="1">
        <f t="shared" si="8"/>
        <v>12</v>
      </c>
    </row>
    <row r="1019" spans="2:24" ht="13.2" x14ac:dyDescent="0.25">
      <c r="B1019" s="109"/>
      <c r="C1019" s="9">
        <v>2019</v>
      </c>
      <c r="D1019" s="9">
        <v>0</v>
      </c>
      <c r="E1019" s="9">
        <v>0</v>
      </c>
      <c r="F1019" s="9">
        <v>1</v>
      </c>
      <c r="G1019" s="9">
        <v>1</v>
      </c>
      <c r="H1019" s="9">
        <v>1</v>
      </c>
      <c r="I1019" s="9">
        <v>0</v>
      </c>
      <c r="J1019" s="9">
        <v>0</v>
      </c>
      <c r="K1019" s="9">
        <v>0</v>
      </c>
      <c r="L1019" s="9">
        <v>0</v>
      </c>
      <c r="M1019" s="9">
        <v>1</v>
      </c>
      <c r="N1019" s="9">
        <v>0</v>
      </c>
      <c r="O1019" s="9">
        <v>0</v>
      </c>
      <c r="P1019" s="9">
        <v>0</v>
      </c>
      <c r="Q1019" s="9">
        <v>1</v>
      </c>
      <c r="R1019" s="9">
        <v>0</v>
      </c>
      <c r="S1019" s="9">
        <v>0</v>
      </c>
      <c r="T1019" s="9">
        <v>0</v>
      </c>
      <c r="U1019" s="9">
        <v>1</v>
      </c>
      <c r="V1019" s="9">
        <v>1</v>
      </c>
      <c r="W1019" s="9">
        <v>0</v>
      </c>
      <c r="X1019" s="1">
        <f t="shared" si="8"/>
        <v>7</v>
      </c>
    </row>
    <row r="1020" spans="2:24" ht="13.2" x14ac:dyDescent="0.25">
      <c r="B1020" s="109"/>
      <c r="C1020" s="9">
        <v>2020</v>
      </c>
      <c r="D1020" s="9">
        <v>0</v>
      </c>
      <c r="E1020" s="9">
        <v>1</v>
      </c>
      <c r="F1020" s="9">
        <v>0</v>
      </c>
      <c r="G1020" s="9">
        <v>1</v>
      </c>
      <c r="H1020" s="9">
        <v>0</v>
      </c>
      <c r="I1020" s="9">
        <v>1</v>
      </c>
      <c r="J1020" s="9">
        <v>1</v>
      </c>
      <c r="K1020" s="9">
        <v>1</v>
      </c>
      <c r="L1020" s="9">
        <v>1</v>
      </c>
      <c r="M1020" s="9">
        <v>1</v>
      </c>
      <c r="N1020" s="9">
        <v>0</v>
      </c>
      <c r="O1020" s="9">
        <v>0</v>
      </c>
      <c r="P1020" s="9">
        <v>1</v>
      </c>
      <c r="Q1020" s="9">
        <v>0</v>
      </c>
      <c r="R1020" s="9">
        <v>0</v>
      </c>
      <c r="S1020" s="9">
        <v>1</v>
      </c>
      <c r="T1020" s="9">
        <v>0</v>
      </c>
      <c r="U1020" s="9">
        <v>1</v>
      </c>
      <c r="V1020" s="9">
        <v>1</v>
      </c>
      <c r="W1020" s="9">
        <v>0</v>
      </c>
      <c r="X1020" s="1">
        <f t="shared" si="8"/>
        <v>11</v>
      </c>
    </row>
    <row r="1021" spans="2:24" ht="13.2" x14ac:dyDescent="0.25">
      <c r="B1021" s="109"/>
      <c r="C1021" s="9">
        <v>2021</v>
      </c>
      <c r="D1021" s="9">
        <v>1</v>
      </c>
      <c r="E1021" s="9">
        <v>0</v>
      </c>
      <c r="F1021" s="9">
        <v>0</v>
      </c>
      <c r="G1021" s="9">
        <v>1</v>
      </c>
      <c r="H1021" s="9">
        <v>0</v>
      </c>
      <c r="I1021" s="9">
        <v>1</v>
      </c>
      <c r="J1021" s="9">
        <v>0</v>
      </c>
      <c r="K1021" s="9">
        <v>0</v>
      </c>
      <c r="L1021" s="9">
        <v>0</v>
      </c>
      <c r="M1021" s="9">
        <v>1</v>
      </c>
      <c r="N1021" s="9">
        <v>0</v>
      </c>
      <c r="O1021" s="9">
        <v>1</v>
      </c>
      <c r="P1021" s="9">
        <v>1</v>
      </c>
      <c r="Q1021" s="9">
        <v>0</v>
      </c>
      <c r="R1021" s="9">
        <v>1</v>
      </c>
      <c r="S1021" s="9">
        <v>1</v>
      </c>
      <c r="T1021" s="9">
        <v>1</v>
      </c>
      <c r="U1021" s="9">
        <v>1</v>
      </c>
      <c r="V1021" s="9">
        <v>1</v>
      </c>
      <c r="W1021" s="9">
        <v>1</v>
      </c>
      <c r="X1021" s="1">
        <f t="shared" si="8"/>
        <v>12</v>
      </c>
    </row>
    <row r="1022" spans="2:24" ht="13.2" x14ac:dyDescent="0.25">
      <c r="B1022" s="110"/>
      <c r="C1022" s="9">
        <v>2022</v>
      </c>
      <c r="D1022" s="9">
        <v>0</v>
      </c>
      <c r="E1022" s="9">
        <v>0</v>
      </c>
      <c r="F1022" s="9">
        <v>0</v>
      </c>
      <c r="G1022" s="9">
        <v>1</v>
      </c>
      <c r="H1022" s="9">
        <v>0</v>
      </c>
      <c r="I1022" s="9">
        <v>0</v>
      </c>
      <c r="J1022" s="9">
        <v>0</v>
      </c>
      <c r="K1022" s="9">
        <v>0</v>
      </c>
      <c r="L1022" s="9">
        <v>1</v>
      </c>
      <c r="M1022" s="9">
        <v>0</v>
      </c>
      <c r="N1022" s="9">
        <v>0</v>
      </c>
      <c r="O1022" s="9">
        <v>1</v>
      </c>
      <c r="P1022" s="9">
        <v>1</v>
      </c>
      <c r="Q1022" s="9">
        <v>1</v>
      </c>
      <c r="R1022" s="9">
        <v>0</v>
      </c>
      <c r="S1022" s="9">
        <v>1</v>
      </c>
      <c r="T1022" s="9">
        <v>1</v>
      </c>
      <c r="U1022" s="9">
        <v>1</v>
      </c>
      <c r="V1022" s="9">
        <v>0</v>
      </c>
      <c r="W1022" s="9">
        <v>0</v>
      </c>
      <c r="X1022" s="1">
        <f t="shared" si="8"/>
        <v>8</v>
      </c>
    </row>
    <row r="1023" spans="2:24" ht="13.2" x14ac:dyDescent="0.25">
      <c r="B1023" s="108" t="s">
        <v>162</v>
      </c>
      <c r="C1023" s="9">
        <v>2018</v>
      </c>
      <c r="D1023" s="9">
        <v>1</v>
      </c>
      <c r="E1023" s="9">
        <v>1</v>
      </c>
      <c r="F1023" s="9">
        <v>1</v>
      </c>
      <c r="G1023" s="9">
        <v>0</v>
      </c>
      <c r="H1023" s="9">
        <v>1</v>
      </c>
      <c r="I1023" s="9">
        <v>1</v>
      </c>
      <c r="J1023" s="9">
        <v>0</v>
      </c>
      <c r="K1023" s="9">
        <v>0</v>
      </c>
      <c r="L1023" s="9">
        <v>0</v>
      </c>
      <c r="M1023" s="9">
        <v>1</v>
      </c>
      <c r="N1023" s="9">
        <v>0</v>
      </c>
      <c r="O1023" s="9">
        <v>1</v>
      </c>
      <c r="P1023" s="9">
        <v>1</v>
      </c>
      <c r="Q1023" s="9">
        <v>0</v>
      </c>
      <c r="R1023" s="9">
        <v>0</v>
      </c>
      <c r="S1023" s="9">
        <v>0</v>
      </c>
      <c r="T1023" s="9">
        <v>1</v>
      </c>
      <c r="U1023" s="9">
        <v>1</v>
      </c>
      <c r="V1023" s="9">
        <v>1</v>
      </c>
      <c r="W1023" s="9">
        <v>0</v>
      </c>
      <c r="X1023" s="1">
        <f t="shared" si="8"/>
        <v>11</v>
      </c>
    </row>
    <row r="1024" spans="2:24" ht="13.2" x14ac:dyDescent="0.25">
      <c r="B1024" s="109"/>
      <c r="C1024" s="9">
        <v>2019</v>
      </c>
      <c r="D1024" s="9">
        <v>1</v>
      </c>
      <c r="E1024" s="9">
        <v>0</v>
      </c>
      <c r="F1024" s="9">
        <v>1</v>
      </c>
      <c r="G1024" s="9">
        <v>1</v>
      </c>
      <c r="H1024" s="9">
        <v>0</v>
      </c>
      <c r="I1024" s="9">
        <v>0</v>
      </c>
      <c r="J1024" s="9">
        <v>0</v>
      </c>
      <c r="K1024" s="9">
        <v>0</v>
      </c>
      <c r="L1024" s="9">
        <v>0</v>
      </c>
      <c r="M1024" s="9">
        <v>0</v>
      </c>
      <c r="N1024" s="9">
        <v>0</v>
      </c>
      <c r="O1024" s="9">
        <v>0</v>
      </c>
      <c r="P1024" s="9">
        <v>1</v>
      </c>
      <c r="Q1024" s="9">
        <v>1</v>
      </c>
      <c r="R1024" s="9">
        <v>0</v>
      </c>
      <c r="S1024" s="9">
        <v>1</v>
      </c>
      <c r="T1024" s="9">
        <v>0</v>
      </c>
      <c r="U1024" s="9">
        <v>0</v>
      </c>
      <c r="V1024" s="9">
        <v>0</v>
      </c>
      <c r="W1024" s="9">
        <v>1</v>
      </c>
      <c r="X1024" s="1">
        <f t="shared" si="8"/>
        <v>7</v>
      </c>
    </row>
    <row r="1025" spans="2:24" ht="13.2" x14ac:dyDescent="0.25">
      <c r="B1025" s="109"/>
      <c r="C1025" s="9">
        <v>2020</v>
      </c>
      <c r="D1025" s="9">
        <v>1</v>
      </c>
      <c r="E1025" s="9">
        <v>0</v>
      </c>
      <c r="F1025" s="9">
        <v>1</v>
      </c>
      <c r="G1025" s="9">
        <v>0</v>
      </c>
      <c r="H1025" s="9">
        <v>1</v>
      </c>
      <c r="I1025" s="9">
        <v>1</v>
      </c>
      <c r="J1025" s="9">
        <v>1</v>
      </c>
      <c r="K1025" s="9">
        <v>1</v>
      </c>
      <c r="L1025" s="9">
        <v>1</v>
      </c>
      <c r="M1025" s="9">
        <v>1</v>
      </c>
      <c r="N1025" s="9">
        <v>1</v>
      </c>
      <c r="O1025" s="9">
        <v>1</v>
      </c>
      <c r="P1025" s="9">
        <v>0</v>
      </c>
      <c r="Q1025" s="9">
        <v>0</v>
      </c>
      <c r="R1025" s="9">
        <v>0</v>
      </c>
      <c r="S1025" s="9">
        <v>1</v>
      </c>
      <c r="T1025" s="9">
        <v>0</v>
      </c>
      <c r="U1025" s="9">
        <v>1</v>
      </c>
      <c r="V1025" s="9">
        <v>0</v>
      </c>
      <c r="W1025" s="9">
        <v>1</v>
      </c>
      <c r="X1025" s="1">
        <f t="shared" si="8"/>
        <v>13</v>
      </c>
    </row>
    <row r="1026" spans="2:24" ht="13.2" x14ac:dyDescent="0.25">
      <c r="B1026" s="109"/>
      <c r="C1026" s="9">
        <v>2021</v>
      </c>
      <c r="D1026" s="9">
        <v>1</v>
      </c>
      <c r="E1026" s="9">
        <v>0</v>
      </c>
      <c r="F1026" s="9">
        <v>1</v>
      </c>
      <c r="G1026" s="9">
        <v>0</v>
      </c>
      <c r="H1026" s="9">
        <v>0</v>
      </c>
      <c r="I1026" s="9">
        <v>1</v>
      </c>
      <c r="J1026" s="9">
        <v>0</v>
      </c>
      <c r="K1026" s="9">
        <v>1</v>
      </c>
      <c r="L1026" s="9">
        <v>1</v>
      </c>
      <c r="M1026" s="9">
        <v>0</v>
      </c>
      <c r="N1026" s="9">
        <v>1</v>
      </c>
      <c r="O1026" s="9">
        <v>0</v>
      </c>
      <c r="P1026" s="9">
        <v>0</v>
      </c>
      <c r="Q1026" s="9">
        <v>0</v>
      </c>
      <c r="R1026" s="9">
        <v>0</v>
      </c>
      <c r="S1026" s="9">
        <v>1</v>
      </c>
      <c r="T1026" s="9">
        <v>1</v>
      </c>
      <c r="U1026" s="9">
        <v>1</v>
      </c>
      <c r="V1026" s="9">
        <v>1</v>
      </c>
      <c r="W1026" s="9">
        <v>0</v>
      </c>
      <c r="X1026" s="1">
        <f t="shared" si="8"/>
        <v>10</v>
      </c>
    </row>
    <row r="1027" spans="2:24" ht="13.2" x14ac:dyDescent="0.25">
      <c r="B1027" s="110"/>
      <c r="C1027" s="9">
        <v>2022</v>
      </c>
      <c r="D1027" s="9">
        <v>1</v>
      </c>
      <c r="E1027" s="9">
        <v>0</v>
      </c>
      <c r="F1027" s="9">
        <v>0</v>
      </c>
      <c r="G1027" s="9">
        <v>0</v>
      </c>
      <c r="H1027" s="9">
        <v>0</v>
      </c>
      <c r="I1027" s="9">
        <v>1</v>
      </c>
      <c r="J1027" s="9">
        <v>1</v>
      </c>
      <c r="K1027" s="9">
        <v>1</v>
      </c>
      <c r="L1027" s="9">
        <v>1</v>
      </c>
      <c r="M1027" s="9">
        <v>1</v>
      </c>
      <c r="N1027" s="9">
        <v>1</v>
      </c>
      <c r="O1027" s="9">
        <v>1</v>
      </c>
      <c r="P1027" s="9">
        <v>1</v>
      </c>
      <c r="Q1027" s="9">
        <v>1</v>
      </c>
      <c r="R1027" s="9">
        <v>1</v>
      </c>
      <c r="S1027" s="9">
        <v>0</v>
      </c>
      <c r="T1027" s="9">
        <v>1</v>
      </c>
      <c r="U1027" s="9">
        <v>1</v>
      </c>
      <c r="V1027" s="9">
        <v>0</v>
      </c>
      <c r="W1027" s="9">
        <v>0</v>
      </c>
      <c r="X1027" s="1">
        <f t="shared" si="8"/>
        <v>13</v>
      </c>
    </row>
    <row r="1028" spans="2:24" ht="13.2" x14ac:dyDescent="0.25">
      <c r="B1028" s="108" t="s">
        <v>168</v>
      </c>
      <c r="C1028" s="9">
        <v>2018</v>
      </c>
      <c r="D1028" s="9">
        <v>0</v>
      </c>
      <c r="E1028" s="9">
        <v>0</v>
      </c>
      <c r="F1028" s="9">
        <v>1</v>
      </c>
      <c r="G1028" s="9">
        <v>0</v>
      </c>
      <c r="H1028" s="9">
        <v>1</v>
      </c>
      <c r="I1028" s="9">
        <v>1</v>
      </c>
      <c r="J1028" s="9">
        <v>0</v>
      </c>
      <c r="K1028" s="9">
        <v>0</v>
      </c>
      <c r="L1028" s="9">
        <v>1</v>
      </c>
      <c r="M1028" s="9">
        <v>0</v>
      </c>
      <c r="N1028" s="9">
        <v>1</v>
      </c>
      <c r="O1028" s="9">
        <v>1</v>
      </c>
      <c r="P1028" s="9">
        <v>1</v>
      </c>
      <c r="Q1028" s="9">
        <v>1</v>
      </c>
      <c r="R1028" s="9">
        <v>1</v>
      </c>
      <c r="S1028" s="9">
        <v>1</v>
      </c>
      <c r="T1028" s="9">
        <v>0</v>
      </c>
      <c r="U1028" s="9">
        <v>1</v>
      </c>
      <c r="V1028" s="9">
        <v>1</v>
      </c>
      <c r="W1028" s="9">
        <v>0</v>
      </c>
      <c r="X1028" s="1">
        <f t="shared" si="8"/>
        <v>12</v>
      </c>
    </row>
    <row r="1029" spans="2:24" ht="13.2" x14ac:dyDescent="0.25">
      <c r="B1029" s="109"/>
      <c r="C1029" s="9">
        <v>2019</v>
      </c>
      <c r="D1029" s="9">
        <v>1</v>
      </c>
      <c r="E1029" s="9">
        <v>0</v>
      </c>
      <c r="F1029" s="9">
        <v>0</v>
      </c>
      <c r="G1029" s="9">
        <v>1</v>
      </c>
      <c r="H1029" s="9">
        <v>1</v>
      </c>
      <c r="I1029" s="9">
        <v>0</v>
      </c>
      <c r="J1029" s="9">
        <v>0</v>
      </c>
      <c r="K1029" s="9">
        <v>1</v>
      </c>
      <c r="L1029" s="9">
        <v>1</v>
      </c>
      <c r="M1029" s="9">
        <v>0</v>
      </c>
      <c r="N1029" s="9">
        <v>0</v>
      </c>
      <c r="O1029" s="9">
        <v>1</v>
      </c>
      <c r="P1029" s="9">
        <v>0</v>
      </c>
      <c r="Q1029" s="9">
        <v>1</v>
      </c>
      <c r="R1029" s="9">
        <v>0</v>
      </c>
      <c r="S1029" s="9">
        <v>1</v>
      </c>
      <c r="T1029" s="9">
        <v>1</v>
      </c>
      <c r="U1029" s="9">
        <v>0</v>
      </c>
      <c r="V1029" s="9">
        <v>1</v>
      </c>
      <c r="W1029" s="9">
        <v>0</v>
      </c>
      <c r="X1029" s="1">
        <f t="shared" si="8"/>
        <v>10</v>
      </c>
    </row>
    <row r="1030" spans="2:24" ht="13.2" x14ac:dyDescent="0.25">
      <c r="B1030" s="109"/>
      <c r="C1030" s="9">
        <v>2020</v>
      </c>
      <c r="D1030" s="9">
        <v>1</v>
      </c>
      <c r="E1030" s="9">
        <v>1</v>
      </c>
      <c r="F1030" s="9">
        <v>0</v>
      </c>
      <c r="G1030" s="9">
        <v>1</v>
      </c>
      <c r="H1030" s="9">
        <v>0</v>
      </c>
      <c r="I1030" s="9">
        <v>0</v>
      </c>
      <c r="J1030" s="9">
        <v>0</v>
      </c>
      <c r="K1030" s="9">
        <v>0</v>
      </c>
      <c r="L1030" s="9">
        <v>0</v>
      </c>
      <c r="M1030" s="9">
        <v>1</v>
      </c>
      <c r="N1030" s="9">
        <v>1</v>
      </c>
      <c r="O1030" s="9">
        <v>1</v>
      </c>
      <c r="P1030" s="9">
        <v>1</v>
      </c>
      <c r="Q1030" s="9">
        <v>1</v>
      </c>
      <c r="R1030" s="9">
        <v>1</v>
      </c>
      <c r="S1030" s="9">
        <v>0</v>
      </c>
      <c r="T1030" s="9">
        <v>0</v>
      </c>
      <c r="U1030" s="9">
        <v>1</v>
      </c>
      <c r="V1030" s="9">
        <v>0</v>
      </c>
      <c r="W1030" s="9">
        <v>0</v>
      </c>
      <c r="X1030" s="1">
        <f t="shared" si="8"/>
        <v>10</v>
      </c>
    </row>
    <row r="1031" spans="2:24" ht="13.2" x14ac:dyDescent="0.25">
      <c r="B1031" s="109"/>
      <c r="C1031" s="9">
        <v>2021</v>
      </c>
      <c r="D1031" s="9">
        <v>0</v>
      </c>
      <c r="E1031" s="9">
        <v>1</v>
      </c>
      <c r="F1031" s="9">
        <v>0</v>
      </c>
      <c r="G1031" s="9">
        <v>1</v>
      </c>
      <c r="H1031" s="9">
        <v>1</v>
      </c>
      <c r="I1031" s="9">
        <v>1</v>
      </c>
      <c r="J1031" s="9">
        <v>1</v>
      </c>
      <c r="K1031" s="9">
        <v>0</v>
      </c>
      <c r="L1031" s="9">
        <v>0</v>
      </c>
      <c r="M1031" s="9">
        <v>0</v>
      </c>
      <c r="N1031" s="9">
        <v>0</v>
      </c>
      <c r="O1031" s="9">
        <v>1</v>
      </c>
      <c r="P1031" s="9">
        <v>1</v>
      </c>
      <c r="Q1031" s="9">
        <v>1</v>
      </c>
      <c r="R1031" s="9">
        <v>0</v>
      </c>
      <c r="S1031" s="9">
        <v>1</v>
      </c>
      <c r="T1031" s="9">
        <v>0</v>
      </c>
      <c r="U1031" s="9">
        <v>0</v>
      </c>
      <c r="V1031" s="9">
        <v>1</v>
      </c>
      <c r="W1031" s="9">
        <v>1</v>
      </c>
      <c r="X1031" s="1">
        <f t="shared" si="8"/>
        <v>11</v>
      </c>
    </row>
    <row r="1032" spans="2:24" ht="13.2" x14ac:dyDescent="0.25">
      <c r="B1032" s="110"/>
      <c r="C1032" s="9">
        <v>2022</v>
      </c>
      <c r="D1032" s="9">
        <v>0</v>
      </c>
      <c r="E1032" s="9">
        <v>0</v>
      </c>
      <c r="F1032" s="9">
        <v>1</v>
      </c>
      <c r="G1032" s="9">
        <v>0</v>
      </c>
      <c r="H1032" s="9">
        <v>0</v>
      </c>
      <c r="I1032" s="9">
        <v>0</v>
      </c>
      <c r="J1032" s="9">
        <v>1</v>
      </c>
      <c r="K1032" s="9">
        <v>1</v>
      </c>
      <c r="L1032" s="9">
        <v>0</v>
      </c>
      <c r="M1032" s="9">
        <v>1</v>
      </c>
      <c r="N1032" s="9">
        <v>1</v>
      </c>
      <c r="O1032" s="9">
        <v>0</v>
      </c>
      <c r="P1032" s="9">
        <v>1</v>
      </c>
      <c r="Q1032" s="9">
        <v>1</v>
      </c>
      <c r="R1032" s="9">
        <v>0</v>
      </c>
      <c r="S1032" s="9">
        <v>1</v>
      </c>
      <c r="T1032" s="9">
        <v>0</v>
      </c>
      <c r="U1032" s="9">
        <v>1</v>
      </c>
      <c r="V1032" s="9">
        <v>0</v>
      </c>
      <c r="W1032" s="9">
        <v>1</v>
      </c>
      <c r="X1032" s="1">
        <f t="shared" si="8"/>
        <v>10</v>
      </c>
    </row>
    <row r="1033" spans="2:24" ht="13.2" x14ac:dyDescent="0.25">
      <c r="B1033" s="108" t="s">
        <v>173</v>
      </c>
      <c r="C1033" s="9">
        <v>2018</v>
      </c>
      <c r="D1033" s="9">
        <v>0</v>
      </c>
      <c r="E1033" s="9">
        <v>1</v>
      </c>
      <c r="F1033" s="9">
        <v>0</v>
      </c>
      <c r="G1033" s="9">
        <v>1</v>
      </c>
      <c r="H1033" s="9">
        <v>1</v>
      </c>
      <c r="I1033" s="9">
        <v>0</v>
      </c>
      <c r="J1033" s="9">
        <v>0</v>
      </c>
      <c r="K1033" s="9">
        <v>1</v>
      </c>
      <c r="L1033" s="9">
        <v>1</v>
      </c>
      <c r="M1033" s="9">
        <v>0</v>
      </c>
      <c r="N1033" s="9">
        <v>1</v>
      </c>
      <c r="O1033" s="9">
        <v>1</v>
      </c>
      <c r="P1033" s="9">
        <v>1</v>
      </c>
      <c r="Q1033" s="9">
        <v>0</v>
      </c>
      <c r="R1033" s="9">
        <v>1</v>
      </c>
      <c r="S1033" s="9">
        <v>0</v>
      </c>
      <c r="T1033" s="9">
        <v>1</v>
      </c>
      <c r="U1033" s="9">
        <v>0</v>
      </c>
      <c r="V1033" s="9">
        <v>0</v>
      </c>
      <c r="W1033" s="9">
        <v>0</v>
      </c>
      <c r="X1033" s="1">
        <f t="shared" si="8"/>
        <v>10</v>
      </c>
    </row>
    <row r="1034" spans="2:24" ht="13.2" x14ac:dyDescent="0.25">
      <c r="B1034" s="109"/>
      <c r="C1034" s="9">
        <v>2019</v>
      </c>
      <c r="D1034" s="9">
        <v>0</v>
      </c>
      <c r="E1034" s="9">
        <v>0</v>
      </c>
      <c r="F1034" s="9">
        <v>1</v>
      </c>
      <c r="G1034" s="9">
        <v>1</v>
      </c>
      <c r="H1034" s="9">
        <v>0</v>
      </c>
      <c r="I1034" s="9">
        <v>0</v>
      </c>
      <c r="J1034" s="9">
        <v>0</v>
      </c>
      <c r="K1034" s="9">
        <v>1</v>
      </c>
      <c r="L1034" s="9">
        <v>0</v>
      </c>
      <c r="M1034" s="9">
        <v>1</v>
      </c>
      <c r="N1034" s="9">
        <v>1</v>
      </c>
      <c r="O1034" s="9">
        <v>1</v>
      </c>
      <c r="P1034" s="9">
        <v>0</v>
      </c>
      <c r="Q1034" s="9">
        <v>1</v>
      </c>
      <c r="R1034" s="9">
        <v>1</v>
      </c>
      <c r="S1034" s="9">
        <v>1</v>
      </c>
      <c r="T1034" s="9">
        <v>1</v>
      </c>
      <c r="U1034" s="9">
        <v>1</v>
      </c>
      <c r="V1034" s="9">
        <v>0</v>
      </c>
      <c r="W1034" s="9">
        <v>1</v>
      </c>
      <c r="X1034" s="1">
        <f t="shared" si="8"/>
        <v>12</v>
      </c>
    </row>
    <row r="1035" spans="2:24" ht="13.2" x14ac:dyDescent="0.25">
      <c r="B1035" s="109"/>
      <c r="C1035" s="9">
        <v>2020</v>
      </c>
      <c r="D1035" s="9">
        <v>0</v>
      </c>
      <c r="E1035" s="9">
        <v>0</v>
      </c>
      <c r="F1035" s="9">
        <v>1</v>
      </c>
      <c r="G1035" s="9">
        <v>0</v>
      </c>
      <c r="H1035" s="9">
        <v>0</v>
      </c>
      <c r="I1035" s="9">
        <v>0</v>
      </c>
      <c r="J1035" s="9">
        <v>1</v>
      </c>
      <c r="K1035" s="9">
        <v>1</v>
      </c>
      <c r="L1035" s="9">
        <v>0</v>
      </c>
      <c r="M1035" s="9">
        <v>1</v>
      </c>
      <c r="N1035" s="9">
        <v>0</v>
      </c>
      <c r="O1035" s="9">
        <v>0</v>
      </c>
      <c r="P1035" s="9">
        <v>1</v>
      </c>
      <c r="Q1035" s="9">
        <v>1</v>
      </c>
      <c r="R1035" s="9">
        <v>1</v>
      </c>
      <c r="S1035" s="9">
        <v>1</v>
      </c>
      <c r="T1035" s="9">
        <v>0</v>
      </c>
      <c r="U1035" s="9">
        <v>0</v>
      </c>
      <c r="V1035" s="9">
        <v>0</v>
      </c>
      <c r="W1035" s="9">
        <v>0</v>
      </c>
      <c r="X1035" s="1">
        <f t="shared" si="8"/>
        <v>8</v>
      </c>
    </row>
    <row r="1036" spans="2:24" ht="13.2" x14ac:dyDescent="0.25">
      <c r="B1036" s="109"/>
      <c r="C1036" s="9">
        <v>2021</v>
      </c>
      <c r="D1036" s="9">
        <v>0</v>
      </c>
      <c r="E1036" s="9">
        <v>0</v>
      </c>
      <c r="F1036" s="9">
        <v>0</v>
      </c>
      <c r="G1036" s="9">
        <v>1</v>
      </c>
      <c r="H1036" s="9">
        <v>0</v>
      </c>
      <c r="I1036" s="9">
        <v>0</v>
      </c>
      <c r="J1036" s="9">
        <v>1</v>
      </c>
      <c r="K1036" s="9">
        <v>0</v>
      </c>
      <c r="L1036" s="9">
        <v>0</v>
      </c>
      <c r="M1036" s="9">
        <v>0</v>
      </c>
      <c r="N1036" s="9">
        <v>1</v>
      </c>
      <c r="O1036" s="9">
        <v>0</v>
      </c>
      <c r="P1036" s="9">
        <v>0</v>
      </c>
      <c r="Q1036" s="9">
        <v>0</v>
      </c>
      <c r="R1036" s="9">
        <v>1</v>
      </c>
      <c r="S1036" s="9">
        <v>1</v>
      </c>
      <c r="T1036" s="9">
        <v>0</v>
      </c>
      <c r="U1036" s="9">
        <v>0</v>
      </c>
      <c r="V1036" s="9">
        <v>1</v>
      </c>
      <c r="W1036" s="9">
        <v>0</v>
      </c>
      <c r="X1036" s="1">
        <f t="shared" si="8"/>
        <v>6</v>
      </c>
    </row>
    <row r="1037" spans="2:24" ht="13.2" x14ac:dyDescent="0.25">
      <c r="B1037" s="110"/>
      <c r="C1037" s="9">
        <v>2022</v>
      </c>
      <c r="D1037" s="9">
        <v>0</v>
      </c>
      <c r="E1037" s="9">
        <v>0</v>
      </c>
      <c r="F1037" s="9">
        <v>0</v>
      </c>
      <c r="G1037" s="9">
        <v>0</v>
      </c>
      <c r="H1037" s="9">
        <v>0</v>
      </c>
      <c r="I1037" s="9">
        <v>0</v>
      </c>
      <c r="J1037" s="9">
        <v>1</v>
      </c>
      <c r="K1037" s="9">
        <v>1</v>
      </c>
      <c r="L1037" s="9">
        <v>1</v>
      </c>
      <c r="M1037" s="9">
        <v>0</v>
      </c>
      <c r="N1037" s="9">
        <v>1</v>
      </c>
      <c r="O1037" s="9">
        <v>0</v>
      </c>
      <c r="P1037" s="9">
        <v>1</v>
      </c>
      <c r="Q1037" s="9">
        <v>0</v>
      </c>
      <c r="R1037" s="9">
        <v>0</v>
      </c>
      <c r="S1037" s="9">
        <v>0</v>
      </c>
      <c r="T1037" s="9">
        <v>1</v>
      </c>
      <c r="U1037" s="9">
        <v>0</v>
      </c>
      <c r="V1037" s="9">
        <v>1</v>
      </c>
      <c r="W1037" s="9">
        <v>1</v>
      </c>
      <c r="X1037" s="1">
        <f t="shared" si="8"/>
        <v>8</v>
      </c>
    </row>
    <row r="1038" spans="2:24" ht="13.2" x14ac:dyDescent="0.25">
      <c r="B1038" s="108" t="s">
        <v>174</v>
      </c>
      <c r="C1038" s="9">
        <v>2018</v>
      </c>
      <c r="D1038" s="9">
        <v>0</v>
      </c>
      <c r="E1038" s="9">
        <v>1</v>
      </c>
      <c r="F1038" s="9">
        <v>1</v>
      </c>
      <c r="G1038" s="9">
        <v>1</v>
      </c>
      <c r="H1038" s="9">
        <v>0</v>
      </c>
      <c r="I1038" s="9">
        <v>1</v>
      </c>
      <c r="J1038" s="9">
        <v>0</v>
      </c>
      <c r="K1038" s="9">
        <v>0</v>
      </c>
      <c r="L1038" s="9">
        <v>0</v>
      </c>
      <c r="M1038" s="9">
        <v>0</v>
      </c>
      <c r="N1038" s="9">
        <v>0</v>
      </c>
      <c r="O1038" s="9">
        <v>0</v>
      </c>
      <c r="P1038" s="9">
        <v>0</v>
      </c>
      <c r="Q1038" s="9">
        <v>1</v>
      </c>
      <c r="R1038" s="9">
        <v>0</v>
      </c>
      <c r="S1038" s="9">
        <v>1</v>
      </c>
      <c r="T1038" s="9">
        <v>1</v>
      </c>
      <c r="U1038" s="9">
        <v>1</v>
      </c>
      <c r="V1038" s="9">
        <v>1</v>
      </c>
      <c r="W1038" s="9">
        <v>0</v>
      </c>
      <c r="X1038" s="1">
        <f t="shared" si="8"/>
        <v>9</v>
      </c>
    </row>
    <row r="1039" spans="2:24" ht="13.2" x14ac:dyDescent="0.25">
      <c r="B1039" s="109"/>
      <c r="C1039" s="9">
        <v>2019</v>
      </c>
      <c r="D1039" s="9">
        <v>1</v>
      </c>
      <c r="E1039" s="9">
        <v>0</v>
      </c>
      <c r="F1039" s="9">
        <v>1</v>
      </c>
      <c r="G1039" s="9">
        <v>1</v>
      </c>
      <c r="H1039" s="9">
        <v>0</v>
      </c>
      <c r="I1039" s="9">
        <v>1</v>
      </c>
      <c r="J1039" s="9">
        <v>0</v>
      </c>
      <c r="K1039" s="9">
        <v>1</v>
      </c>
      <c r="L1039" s="9">
        <v>1</v>
      </c>
      <c r="M1039" s="9">
        <v>0</v>
      </c>
      <c r="N1039" s="9">
        <v>0</v>
      </c>
      <c r="O1039" s="9">
        <v>0</v>
      </c>
      <c r="P1039" s="9">
        <v>1</v>
      </c>
      <c r="Q1039" s="9">
        <v>1</v>
      </c>
      <c r="R1039" s="9">
        <v>1</v>
      </c>
      <c r="S1039" s="9">
        <v>0</v>
      </c>
      <c r="T1039" s="9">
        <v>1</v>
      </c>
      <c r="U1039" s="9">
        <v>0</v>
      </c>
      <c r="V1039" s="9">
        <v>0</v>
      </c>
      <c r="W1039" s="9">
        <v>1</v>
      </c>
      <c r="X1039" s="1">
        <f t="shared" si="8"/>
        <v>11</v>
      </c>
    </row>
    <row r="1040" spans="2:24" ht="13.2" x14ac:dyDescent="0.25">
      <c r="B1040" s="109"/>
      <c r="C1040" s="9">
        <v>2020</v>
      </c>
      <c r="D1040" s="9">
        <v>1</v>
      </c>
      <c r="E1040" s="9">
        <v>0</v>
      </c>
      <c r="F1040" s="9">
        <v>1</v>
      </c>
      <c r="G1040" s="9">
        <v>1</v>
      </c>
      <c r="H1040" s="9">
        <v>1</v>
      </c>
      <c r="I1040" s="9">
        <v>1</v>
      </c>
      <c r="J1040" s="9">
        <v>0</v>
      </c>
      <c r="K1040" s="9">
        <v>0</v>
      </c>
      <c r="L1040" s="9">
        <v>1</v>
      </c>
      <c r="M1040" s="9">
        <v>0</v>
      </c>
      <c r="N1040" s="9">
        <v>1</v>
      </c>
      <c r="O1040" s="9">
        <v>1</v>
      </c>
      <c r="P1040" s="9">
        <v>0</v>
      </c>
      <c r="Q1040" s="9">
        <v>1</v>
      </c>
      <c r="R1040" s="9">
        <v>0</v>
      </c>
      <c r="S1040" s="9">
        <v>1</v>
      </c>
      <c r="T1040" s="9">
        <v>0</v>
      </c>
      <c r="U1040" s="9">
        <v>1</v>
      </c>
      <c r="V1040" s="9">
        <v>1</v>
      </c>
      <c r="W1040" s="9">
        <v>0</v>
      </c>
      <c r="X1040" s="1">
        <f t="shared" si="8"/>
        <v>12</v>
      </c>
    </row>
    <row r="1041" spans="2:24" ht="13.2" x14ac:dyDescent="0.25">
      <c r="B1041" s="109"/>
      <c r="C1041" s="9">
        <v>2021</v>
      </c>
      <c r="D1041" s="9">
        <v>1</v>
      </c>
      <c r="E1041" s="9">
        <v>1</v>
      </c>
      <c r="F1041" s="9">
        <v>1</v>
      </c>
      <c r="G1041" s="9">
        <v>0</v>
      </c>
      <c r="H1041" s="9">
        <v>0</v>
      </c>
      <c r="I1041" s="9">
        <v>1</v>
      </c>
      <c r="J1041" s="9">
        <v>0</v>
      </c>
      <c r="K1041" s="9">
        <v>1</v>
      </c>
      <c r="L1041" s="9">
        <v>1</v>
      </c>
      <c r="M1041" s="9">
        <v>0</v>
      </c>
      <c r="N1041" s="9">
        <v>1</v>
      </c>
      <c r="O1041" s="9">
        <v>0</v>
      </c>
      <c r="P1041" s="9">
        <v>1</v>
      </c>
      <c r="Q1041" s="9">
        <v>0</v>
      </c>
      <c r="R1041" s="9">
        <v>1</v>
      </c>
      <c r="S1041" s="9">
        <v>0</v>
      </c>
      <c r="T1041" s="9">
        <v>1</v>
      </c>
      <c r="U1041" s="9">
        <v>1</v>
      </c>
      <c r="V1041" s="9">
        <v>1</v>
      </c>
      <c r="W1041" s="9">
        <v>0</v>
      </c>
      <c r="X1041" s="1">
        <f t="shared" si="8"/>
        <v>12</v>
      </c>
    </row>
    <row r="1042" spans="2:24" ht="13.2" x14ac:dyDescent="0.25">
      <c r="B1042" s="110"/>
      <c r="C1042" s="9">
        <v>2022</v>
      </c>
      <c r="D1042" s="9">
        <v>0</v>
      </c>
      <c r="E1042" s="9">
        <v>0</v>
      </c>
      <c r="F1042" s="9">
        <v>0</v>
      </c>
      <c r="G1042" s="9">
        <v>0</v>
      </c>
      <c r="H1042" s="9">
        <v>1</v>
      </c>
      <c r="I1042" s="9">
        <v>0</v>
      </c>
      <c r="J1042" s="9">
        <v>0</v>
      </c>
      <c r="K1042" s="9">
        <v>0</v>
      </c>
      <c r="L1042" s="9">
        <v>0</v>
      </c>
      <c r="M1042" s="9">
        <v>0</v>
      </c>
      <c r="N1042" s="9">
        <v>1</v>
      </c>
      <c r="O1042" s="9">
        <v>1</v>
      </c>
      <c r="P1042" s="9">
        <v>0</v>
      </c>
      <c r="Q1042" s="9">
        <v>0</v>
      </c>
      <c r="R1042" s="9">
        <v>1</v>
      </c>
      <c r="S1042" s="9">
        <v>0</v>
      </c>
      <c r="T1042" s="9">
        <v>0</v>
      </c>
      <c r="U1042" s="9">
        <v>1</v>
      </c>
      <c r="V1042" s="9">
        <v>0</v>
      </c>
      <c r="W1042" s="9">
        <v>1</v>
      </c>
      <c r="X1042" s="1">
        <f t="shared" si="8"/>
        <v>6</v>
      </c>
    </row>
    <row r="1043" spans="2:24" ht="13.2" x14ac:dyDescent="0.25">
      <c r="B1043" s="108" t="s">
        <v>175</v>
      </c>
      <c r="C1043" s="9">
        <v>2018</v>
      </c>
      <c r="D1043" s="9">
        <v>1</v>
      </c>
      <c r="E1043" s="9">
        <v>0</v>
      </c>
      <c r="F1043" s="9">
        <v>1</v>
      </c>
      <c r="G1043" s="9">
        <v>1</v>
      </c>
      <c r="H1043" s="9">
        <v>1</v>
      </c>
      <c r="I1043" s="9">
        <v>1</v>
      </c>
      <c r="J1043" s="9">
        <v>1</v>
      </c>
      <c r="K1043" s="9">
        <v>1</v>
      </c>
      <c r="L1043" s="9">
        <v>0</v>
      </c>
      <c r="M1043" s="9">
        <v>0</v>
      </c>
      <c r="N1043" s="9">
        <v>1</v>
      </c>
      <c r="O1043" s="9">
        <v>0</v>
      </c>
      <c r="P1043" s="9">
        <v>0</v>
      </c>
      <c r="Q1043" s="9">
        <v>1</v>
      </c>
      <c r="R1043" s="9">
        <v>1</v>
      </c>
      <c r="S1043" s="9">
        <v>1</v>
      </c>
      <c r="T1043" s="9">
        <v>1</v>
      </c>
      <c r="U1043" s="9">
        <v>0</v>
      </c>
      <c r="V1043" s="9">
        <v>1</v>
      </c>
      <c r="W1043" s="9">
        <v>0</v>
      </c>
      <c r="X1043" s="1">
        <f t="shared" si="8"/>
        <v>13</v>
      </c>
    </row>
    <row r="1044" spans="2:24" ht="13.2" x14ac:dyDescent="0.25">
      <c r="B1044" s="109"/>
      <c r="C1044" s="9">
        <v>2019</v>
      </c>
      <c r="D1044" s="9">
        <v>1</v>
      </c>
      <c r="E1044" s="9">
        <v>0</v>
      </c>
      <c r="F1044" s="9">
        <v>0</v>
      </c>
      <c r="G1044" s="9">
        <v>1</v>
      </c>
      <c r="H1044" s="9">
        <v>1</v>
      </c>
      <c r="I1044" s="9">
        <v>1</v>
      </c>
      <c r="J1044" s="9">
        <v>1</v>
      </c>
      <c r="K1044" s="9">
        <v>1</v>
      </c>
      <c r="L1044" s="9">
        <v>1</v>
      </c>
      <c r="M1044" s="9">
        <v>1</v>
      </c>
      <c r="N1044" s="9">
        <v>0</v>
      </c>
      <c r="O1044" s="9">
        <v>0</v>
      </c>
      <c r="P1044" s="9">
        <v>0</v>
      </c>
      <c r="Q1044" s="9">
        <v>1</v>
      </c>
      <c r="R1044" s="9">
        <v>0</v>
      </c>
      <c r="S1044" s="9">
        <v>0</v>
      </c>
      <c r="T1044" s="9">
        <v>0</v>
      </c>
      <c r="U1044" s="9">
        <v>1</v>
      </c>
      <c r="V1044" s="9">
        <v>1</v>
      </c>
      <c r="W1044" s="9">
        <v>0</v>
      </c>
      <c r="X1044" s="1">
        <f t="shared" si="8"/>
        <v>11</v>
      </c>
    </row>
    <row r="1045" spans="2:24" ht="13.2" x14ac:dyDescent="0.25">
      <c r="B1045" s="109"/>
      <c r="C1045" s="9">
        <v>2020</v>
      </c>
      <c r="D1045" s="9">
        <v>1</v>
      </c>
      <c r="E1045" s="9">
        <v>0</v>
      </c>
      <c r="F1045" s="9">
        <v>0</v>
      </c>
      <c r="G1045" s="9">
        <v>0</v>
      </c>
      <c r="H1045" s="9">
        <v>1</v>
      </c>
      <c r="I1045" s="9">
        <v>0</v>
      </c>
      <c r="J1045" s="9">
        <v>0</v>
      </c>
      <c r="K1045" s="9">
        <v>1</v>
      </c>
      <c r="L1045" s="9">
        <v>0</v>
      </c>
      <c r="M1045" s="9">
        <v>0</v>
      </c>
      <c r="N1045" s="9">
        <v>1</v>
      </c>
      <c r="O1045" s="9">
        <v>0</v>
      </c>
      <c r="P1045" s="9">
        <v>1</v>
      </c>
      <c r="Q1045" s="9">
        <v>0</v>
      </c>
      <c r="R1045" s="9">
        <v>1</v>
      </c>
      <c r="S1045" s="9">
        <v>1</v>
      </c>
      <c r="T1045" s="9">
        <v>1</v>
      </c>
      <c r="U1045" s="9">
        <v>1</v>
      </c>
      <c r="V1045" s="9">
        <v>0</v>
      </c>
      <c r="W1045" s="9">
        <v>1</v>
      </c>
      <c r="X1045" s="1">
        <f t="shared" si="8"/>
        <v>10</v>
      </c>
    </row>
    <row r="1046" spans="2:24" ht="13.2" x14ac:dyDescent="0.25">
      <c r="B1046" s="109"/>
      <c r="C1046" s="9">
        <v>2021</v>
      </c>
      <c r="D1046" s="9">
        <v>0</v>
      </c>
      <c r="E1046" s="9">
        <v>0</v>
      </c>
      <c r="F1046" s="9">
        <v>1</v>
      </c>
      <c r="G1046" s="9">
        <v>1</v>
      </c>
      <c r="H1046" s="9">
        <v>0</v>
      </c>
      <c r="I1046" s="9">
        <v>0</v>
      </c>
      <c r="J1046" s="9">
        <v>0</v>
      </c>
      <c r="K1046" s="9">
        <v>1</v>
      </c>
      <c r="L1046" s="9">
        <v>0</v>
      </c>
      <c r="M1046" s="9">
        <v>1</v>
      </c>
      <c r="N1046" s="9">
        <v>0</v>
      </c>
      <c r="O1046" s="9">
        <v>1</v>
      </c>
      <c r="P1046" s="9">
        <v>1</v>
      </c>
      <c r="Q1046" s="9">
        <v>1</v>
      </c>
      <c r="R1046" s="9">
        <v>1</v>
      </c>
      <c r="S1046" s="9">
        <v>1</v>
      </c>
      <c r="T1046" s="9">
        <v>1</v>
      </c>
      <c r="U1046" s="9">
        <v>1</v>
      </c>
      <c r="V1046" s="9">
        <v>1</v>
      </c>
      <c r="W1046" s="9">
        <v>1</v>
      </c>
      <c r="X1046" s="1">
        <f t="shared" si="8"/>
        <v>13</v>
      </c>
    </row>
    <row r="1047" spans="2:24" ht="13.2" x14ac:dyDescent="0.25">
      <c r="B1047" s="110"/>
      <c r="C1047" s="9">
        <v>2022</v>
      </c>
      <c r="D1047" s="9">
        <v>1</v>
      </c>
      <c r="E1047" s="9">
        <v>0</v>
      </c>
      <c r="F1047" s="9">
        <v>0</v>
      </c>
      <c r="G1047" s="9">
        <v>1</v>
      </c>
      <c r="H1047" s="9">
        <v>1</v>
      </c>
      <c r="I1047" s="9">
        <v>0</v>
      </c>
      <c r="J1047" s="9">
        <v>1</v>
      </c>
      <c r="K1047" s="9">
        <v>1</v>
      </c>
      <c r="L1047" s="9">
        <v>1</v>
      </c>
      <c r="M1047" s="9">
        <v>1</v>
      </c>
      <c r="N1047" s="9">
        <v>1</v>
      </c>
      <c r="O1047" s="9">
        <v>1</v>
      </c>
      <c r="P1047" s="9">
        <v>1</v>
      </c>
      <c r="Q1047" s="9">
        <v>0</v>
      </c>
      <c r="R1047" s="9">
        <v>0</v>
      </c>
      <c r="S1047" s="9">
        <v>1</v>
      </c>
      <c r="T1047" s="9">
        <v>0</v>
      </c>
      <c r="U1047" s="9">
        <v>0</v>
      </c>
      <c r="V1047" s="9">
        <v>1</v>
      </c>
      <c r="W1047" s="9">
        <v>0</v>
      </c>
      <c r="X1047" s="1">
        <f t="shared" si="8"/>
        <v>12</v>
      </c>
    </row>
    <row r="1048" spans="2:24" ht="13.2" x14ac:dyDescent="0.25">
      <c r="B1048" s="108" t="s">
        <v>176</v>
      </c>
      <c r="C1048" s="9">
        <v>2018</v>
      </c>
      <c r="D1048" s="9">
        <v>0</v>
      </c>
      <c r="E1048" s="9">
        <v>1</v>
      </c>
      <c r="F1048" s="9">
        <v>0</v>
      </c>
      <c r="G1048" s="9">
        <v>1</v>
      </c>
      <c r="H1048" s="9">
        <v>0</v>
      </c>
      <c r="I1048" s="9">
        <v>0</v>
      </c>
      <c r="J1048" s="9">
        <v>1</v>
      </c>
      <c r="K1048" s="9">
        <v>1</v>
      </c>
      <c r="L1048" s="9">
        <v>1</v>
      </c>
      <c r="M1048" s="9">
        <v>0</v>
      </c>
      <c r="N1048" s="9">
        <v>1</v>
      </c>
      <c r="O1048" s="9">
        <v>0</v>
      </c>
      <c r="P1048" s="9">
        <v>0</v>
      </c>
      <c r="Q1048" s="9">
        <v>1</v>
      </c>
      <c r="R1048" s="9">
        <v>0</v>
      </c>
      <c r="S1048" s="9">
        <v>0</v>
      </c>
      <c r="T1048" s="9">
        <v>1</v>
      </c>
      <c r="U1048" s="9">
        <v>0</v>
      </c>
      <c r="V1048" s="9">
        <v>0</v>
      </c>
      <c r="W1048" s="9">
        <v>1</v>
      </c>
      <c r="X1048" s="1">
        <f t="shared" si="8"/>
        <v>9</v>
      </c>
    </row>
    <row r="1049" spans="2:24" ht="13.2" x14ac:dyDescent="0.25">
      <c r="B1049" s="109"/>
      <c r="C1049" s="9">
        <v>2019</v>
      </c>
      <c r="D1049" s="9">
        <v>0</v>
      </c>
      <c r="E1049" s="9">
        <v>1</v>
      </c>
      <c r="F1049" s="9">
        <v>0</v>
      </c>
      <c r="G1049" s="9">
        <v>1</v>
      </c>
      <c r="H1049" s="9">
        <v>0</v>
      </c>
      <c r="I1049" s="9">
        <v>0</v>
      </c>
      <c r="J1049" s="9">
        <v>1</v>
      </c>
      <c r="K1049" s="9">
        <v>0</v>
      </c>
      <c r="L1049" s="9">
        <v>1</v>
      </c>
      <c r="M1049" s="9">
        <v>0</v>
      </c>
      <c r="N1049" s="9">
        <v>0</v>
      </c>
      <c r="O1049" s="9">
        <v>0</v>
      </c>
      <c r="P1049" s="9">
        <v>1</v>
      </c>
      <c r="Q1049" s="9">
        <v>0</v>
      </c>
      <c r="R1049" s="9">
        <v>0</v>
      </c>
      <c r="S1049" s="9">
        <v>1</v>
      </c>
      <c r="T1049" s="9">
        <v>0</v>
      </c>
      <c r="U1049" s="9">
        <v>0</v>
      </c>
      <c r="V1049" s="9">
        <v>0</v>
      </c>
      <c r="W1049" s="9">
        <v>1</v>
      </c>
      <c r="X1049" s="1">
        <f t="shared" si="8"/>
        <v>7</v>
      </c>
    </row>
    <row r="1050" spans="2:24" ht="13.2" x14ac:dyDescent="0.25">
      <c r="B1050" s="109"/>
      <c r="C1050" s="9">
        <v>2020</v>
      </c>
      <c r="D1050" s="9">
        <v>1</v>
      </c>
      <c r="E1050" s="9">
        <v>0</v>
      </c>
      <c r="F1050" s="9">
        <v>1</v>
      </c>
      <c r="G1050" s="9">
        <v>1</v>
      </c>
      <c r="H1050" s="9">
        <v>0</v>
      </c>
      <c r="I1050" s="9">
        <v>0</v>
      </c>
      <c r="J1050" s="9">
        <v>0</v>
      </c>
      <c r="K1050" s="9">
        <v>0</v>
      </c>
      <c r="L1050" s="9">
        <v>0</v>
      </c>
      <c r="M1050" s="9">
        <v>0</v>
      </c>
      <c r="N1050" s="9">
        <v>1</v>
      </c>
      <c r="O1050" s="9">
        <v>1</v>
      </c>
      <c r="P1050" s="9">
        <v>0</v>
      </c>
      <c r="Q1050" s="9">
        <v>1</v>
      </c>
      <c r="R1050" s="9">
        <v>0</v>
      </c>
      <c r="S1050" s="9">
        <v>0</v>
      </c>
      <c r="T1050" s="9">
        <v>1</v>
      </c>
      <c r="U1050" s="9">
        <v>1</v>
      </c>
      <c r="V1050" s="9">
        <v>1</v>
      </c>
      <c r="W1050" s="9">
        <v>0</v>
      </c>
      <c r="X1050" s="1">
        <f t="shared" si="8"/>
        <v>9</v>
      </c>
    </row>
    <row r="1051" spans="2:24" ht="13.2" x14ac:dyDescent="0.25">
      <c r="B1051" s="109"/>
      <c r="C1051" s="9">
        <v>2021</v>
      </c>
      <c r="D1051" s="9">
        <v>1</v>
      </c>
      <c r="E1051" s="9">
        <v>0</v>
      </c>
      <c r="F1051" s="9">
        <v>0</v>
      </c>
      <c r="G1051" s="9">
        <v>0</v>
      </c>
      <c r="H1051" s="9">
        <v>1</v>
      </c>
      <c r="I1051" s="9">
        <v>1</v>
      </c>
      <c r="J1051" s="9">
        <v>1</v>
      </c>
      <c r="K1051" s="9">
        <v>1</v>
      </c>
      <c r="L1051" s="9">
        <v>0</v>
      </c>
      <c r="M1051" s="9">
        <v>1</v>
      </c>
      <c r="N1051" s="9">
        <v>1</v>
      </c>
      <c r="O1051" s="9">
        <v>1</v>
      </c>
      <c r="P1051" s="9">
        <v>0</v>
      </c>
      <c r="Q1051" s="9">
        <v>0</v>
      </c>
      <c r="R1051" s="9">
        <v>0</v>
      </c>
      <c r="S1051" s="9">
        <v>1</v>
      </c>
      <c r="T1051" s="9">
        <v>0</v>
      </c>
      <c r="U1051" s="9">
        <v>1</v>
      </c>
      <c r="V1051" s="9">
        <v>0</v>
      </c>
      <c r="W1051" s="9">
        <v>0</v>
      </c>
      <c r="X1051" s="1">
        <f t="shared" si="8"/>
        <v>10</v>
      </c>
    </row>
    <row r="1052" spans="2:24" ht="13.2" x14ac:dyDescent="0.25">
      <c r="B1052" s="110"/>
      <c r="C1052" s="9">
        <v>2022</v>
      </c>
      <c r="D1052" s="9">
        <v>0</v>
      </c>
      <c r="E1052" s="9">
        <v>1</v>
      </c>
      <c r="F1052" s="9">
        <v>1</v>
      </c>
      <c r="G1052" s="9">
        <v>0</v>
      </c>
      <c r="H1052" s="9">
        <v>1</v>
      </c>
      <c r="I1052" s="9">
        <v>1</v>
      </c>
      <c r="J1052" s="9">
        <v>0</v>
      </c>
      <c r="K1052" s="9">
        <v>1</v>
      </c>
      <c r="L1052" s="9">
        <v>0</v>
      </c>
      <c r="M1052" s="9">
        <v>1</v>
      </c>
      <c r="N1052" s="9">
        <v>1</v>
      </c>
      <c r="O1052" s="9">
        <v>1</v>
      </c>
      <c r="P1052" s="9">
        <v>0</v>
      </c>
      <c r="Q1052" s="9">
        <v>1</v>
      </c>
      <c r="R1052" s="9">
        <v>1</v>
      </c>
      <c r="S1052" s="9">
        <v>0</v>
      </c>
      <c r="T1052" s="9">
        <v>0</v>
      </c>
      <c r="U1052" s="9">
        <v>0</v>
      </c>
      <c r="V1052" s="9">
        <v>0</v>
      </c>
      <c r="W1052" s="9">
        <v>1</v>
      </c>
      <c r="X1052" s="1">
        <f t="shared" si="8"/>
        <v>11</v>
      </c>
    </row>
    <row r="1053" spans="2:24" ht="13.2" x14ac:dyDescent="0.25">
      <c r="B1053" s="108" t="s">
        <v>177</v>
      </c>
      <c r="C1053" s="9">
        <v>2018</v>
      </c>
      <c r="D1053" s="9">
        <v>1</v>
      </c>
      <c r="E1053" s="9">
        <v>0</v>
      </c>
      <c r="F1053" s="9">
        <v>1</v>
      </c>
      <c r="G1053" s="9">
        <v>1</v>
      </c>
      <c r="H1053" s="9">
        <v>1</v>
      </c>
      <c r="I1053" s="9">
        <v>0</v>
      </c>
      <c r="J1053" s="9">
        <v>1</v>
      </c>
      <c r="K1053" s="9">
        <v>1</v>
      </c>
      <c r="L1053" s="9">
        <v>0</v>
      </c>
      <c r="M1053" s="9">
        <v>1</v>
      </c>
      <c r="N1053" s="9">
        <v>1</v>
      </c>
      <c r="O1053" s="9">
        <v>0</v>
      </c>
      <c r="P1053" s="9">
        <v>0</v>
      </c>
      <c r="Q1053" s="9">
        <v>1</v>
      </c>
      <c r="R1053" s="9">
        <v>0</v>
      </c>
      <c r="S1053" s="9">
        <v>0</v>
      </c>
      <c r="T1053" s="9">
        <v>0</v>
      </c>
      <c r="U1053" s="9">
        <v>0</v>
      </c>
      <c r="V1053" s="9">
        <v>1</v>
      </c>
      <c r="W1053" s="9">
        <v>1</v>
      </c>
      <c r="X1053" s="1">
        <f t="shared" si="8"/>
        <v>11</v>
      </c>
    </row>
    <row r="1054" spans="2:24" ht="13.2" x14ac:dyDescent="0.25">
      <c r="B1054" s="109"/>
      <c r="C1054" s="9">
        <v>2019</v>
      </c>
      <c r="D1054" s="9">
        <v>1</v>
      </c>
      <c r="E1054" s="9">
        <v>0</v>
      </c>
      <c r="F1054" s="9">
        <v>0</v>
      </c>
      <c r="G1054" s="9">
        <v>0</v>
      </c>
      <c r="H1054" s="9">
        <v>1</v>
      </c>
      <c r="I1054" s="9">
        <v>1</v>
      </c>
      <c r="J1054" s="9">
        <v>0</v>
      </c>
      <c r="K1054" s="9">
        <v>0</v>
      </c>
      <c r="L1054" s="9">
        <v>1</v>
      </c>
      <c r="M1054" s="9">
        <v>0</v>
      </c>
      <c r="N1054" s="9">
        <v>0</v>
      </c>
      <c r="O1054" s="9">
        <v>0</v>
      </c>
      <c r="P1054" s="9">
        <v>1</v>
      </c>
      <c r="Q1054" s="9">
        <v>1</v>
      </c>
      <c r="R1054" s="9">
        <v>0</v>
      </c>
      <c r="S1054" s="9">
        <v>1</v>
      </c>
      <c r="T1054" s="9">
        <v>1</v>
      </c>
      <c r="U1054" s="9">
        <v>1</v>
      </c>
      <c r="V1054" s="9">
        <v>0</v>
      </c>
      <c r="W1054" s="9">
        <v>0</v>
      </c>
      <c r="X1054" s="1">
        <f t="shared" si="8"/>
        <v>9</v>
      </c>
    </row>
    <row r="1055" spans="2:24" ht="13.2" x14ac:dyDescent="0.25">
      <c r="B1055" s="109"/>
      <c r="C1055" s="9">
        <v>2020</v>
      </c>
      <c r="D1055" s="9">
        <v>0</v>
      </c>
      <c r="E1055" s="9">
        <v>0</v>
      </c>
      <c r="F1055" s="9">
        <v>1</v>
      </c>
      <c r="G1055" s="9">
        <v>1</v>
      </c>
      <c r="H1055" s="9">
        <v>0</v>
      </c>
      <c r="I1055" s="9">
        <v>0</v>
      </c>
      <c r="J1055" s="9">
        <v>1</v>
      </c>
      <c r="K1055" s="9">
        <v>1</v>
      </c>
      <c r="L1055" s="9">
        <v>0</v>
      </c>
      <c r="M1055" s="9">
        <v>1</v>
      </c>
      <c r="N1055" s="9">
        <v>1</v>
      </c>
      <c r="O1055" s="9">
        <v>1</v>
      </c>
      <c r="P1055" s="9">
        <v>1</v>
      </c>
      <c r="Q1055" s="9">
        <v>0</v>
      </c>
      <c r="R1055" s="9">
        <v>0</v>
      </c>
      <c r="S1055" s="9">
        <v>0</v>
      </c>
      <c r="T1055" s="9">
        <v>1</v>
      </c>
      <c r="U1055" s="9">
        <v>1</v>
      </c>
      <c r="V1055" s="9">
        <v>0</v>
      </c>
      <c r="W1055" s="9">
        <v>1</v>
      </c>
      <c r="X1055" s="1">
        <f t="shared" si="8"/>
        <v>11</v>
      </c>
    </row>
    <row r="1056" spans="2:24" ht="13.2" x14ac:dyDescent="0.25">
      <c r="B1056" s="109"/>
      <c r="C1056" s="9">
        <v>2021</v>
      </c>
      <c r="D1056" s="9">
        <v>1</v>
      </c>
      <c r="E1056" s="9">
        <v>1</v>
      </c>
      <c r="F1056" s="9">
        <v>0</v>
      </c>
      <c r="G1056" s="9">
        <v>0</v>
      </c>
      <c r="H1056" s="9">
        <v>1</v>
      </c>
      <c r="I1056" s="9">
        <v>1</v>
      </c>
      <c r="J1056" s="9">
        <v>1</v>
      </c>
      <c r="K1056" s="9">
        <v>1</v>
      </c>
      <c r="L1056" s="9">
        <v>1</v>
      </c>
      <c r="M1056" s="9">
        <v>0</v>
      </c>
      <c r="N1056" s="9">
        <v>1</v>
      </c>
      <c r="O1056" s="9">
        <v>1</v>
      </c>
      <c r="P1056" s="9">
        <v>1</v>
      </c>
      <c r="Q1056" s="9">
        <v>1</v>
      </c>
      <c r="R1056" s="9">
        <v>0</v>
      </c>
      <c r="S1056" s="9">
        <v>0</v>
      </c>
      <c r="T1056" s="9">
        <v>0</v>
      </c>
      <c r="U1056" s="9">
        <v>1</v>
      </c>
      <c r="V1056" s="9">
        <v>0</v>
      </c>
      <c r="W1056" s="9">
        <v>1</v>
      </c>
      <c r="X1056" s="1">
        <f t="shared" si="8"/>
        <v>13</v>
      </c>
    </row>
    <row r="1057" spans="2:24" ht="13.2" x14ac:dyDescent="0.25">
      <c r="B1057" s="110"/>
      <c r="C1057" s="9">
        <v>2022</v>
      </c>
      <c r="D1057" s="9">
        <v>1</v>
      </c>
      <c r="E1057" s="9">
        <v>1</v>
      </c>
      <c r="F1057" s="9">
        <v>1</v>
      </c>
      <c r="G1057" s="9">
        <v>1</v>
      </c>
      <c r="H1057" s="9">
        <v>1</v>
      </c>
      <c r="I1057" s="9">
        <v>1</v>
      </c>
      <c r="J1057" s="9">
        <v>0</v>
      </c>
      <c r="K1057" s="9">
        <v>0</v>
      </c>
      <c r="L1057" s="9">
        <v>0</v>
      </c>
      <c r="M1057" s="9">
        <v>1</v>
      </c>
      <c r="N1057" s="9">
        <v>1</v>
      </c>
      <c r="O1057" s="9">
        <v>1</v>
      </c>
      <c r="P1057" s="9">
        <v>0</v>
      </c>
      <c r="Q1057" s="9">
        <v>1</v>
      </c>
      <c r="R1057" s="9">
        <v>1</v>
      </c>
      <c r="S1057" s="9">
        <v>1</v>
      </c>
      <c r="T1057" s="9">
        <v>1</v>
      </c>
      <c r="U1057" s="9">
        <v>1</v>
      </c>
      <c r="V1057" s="9">
        <v>0</v>
      </c>
      <c r="W1057" s="9">
        <v>1</v>
      </c>
      <c r="X1057" s="1">
        <f t="shared" si="8"/>
        <v>15</v>
      </c>
    </row>
    <row r="1058" spans="2:24" ht="13.2" x14ac:dyDescent="0.25">
      <c r="B1058" s="108" t="s">
        <v>178</v>
      </c>
      <c r="C1058" s="9">
        <v>2018</v>
      </c>
      <c r="D1058" s="9">
        <v>1</v>
      </c>
      <c r="E1058" s="9">
        <v>1</v>
      </c>
      <c r="F1058" s="9">
        <v>1</v>
      </c>
      <c r="G1058" s="9">
        <v>1</v>
      </c>
      <c r="H1058" s="9">
        <v>0</v>
      </c>
      <c r="I1058" s="9">
        <v>1</v>
      </c>
      <c r="J1058" s="9">
        <v>0</v>
      </c>
      <c r="K1058" s="9">
        <v>0</v>
      </c>
      <c r="L1058" s="9">
        <v>0</v>
      </c>
      <c r="M1058" s="9">
        <v>0</v>
      </c>
      <c r="N1058" s="9">
        <v>0</v>
      </c>
      <c r="O1058" s="9">
        <v>0</v>
      </c>
      <c r="P1058" s="9">
        <v>1</v>
      </c>
      <c r="Q1058" s="9">
        <v>1</v>
      </c>
      <c r="R1058" s="9">
        <v>0</v>
      </c>
      <c r="S1058" s="9">
        <v>1</v>
      </c>
      <c r="T1058" s="9">
        <v>1</v>
      </c>
      <c r="U1058" s="9">
        <v>1</v>
      </c>
      <c r="V1058" s="9">
        <v>0</v>
      </c>
      <c r="W1058" s="9">
        <v>1</v>
      </c>
      <c r="X1058" s="1">
        <f t="shared" si="8"/>
        <v>11</v>
      </c>
    </row>
    <row r="1059" spans="2:24" ht="13.2" x14ac:dyDescent="0.25">
      <c r="B1059" s="109"/>
      <c r="C1059" s="9">
        <v>2019</v>
      </c>
      <c r="D1059" s="9">
        <v>1</v>
      </c>
      <c r="E1059" s="9">
        <v>1</v>
      </c>
      <c r="F1059" s="9">
        <v>0</v>
      </c>
      <c r="G1059" s="9">
        <v>0</v>
      </c>
      <c r="H1059" s="9">
        <v>1</v>
      </c>
      <c r="I1059" s="9">
        <v>1</v>
      </c>
      <c r="J1059" s="9">
        <v>0</v>
      </c>
      <c r="K1059" s="9">
        <v>1</v>
      </c>
      <c r="L1059" s="9">
        <v>0</v>
      </c>
      <c r="M1059" s="9">
        <v>0</v>
      </c>
      <c r="N1059" s="9">
        <v>0</v>
      </c>
      <c r="O1059" s="9">
        <v>0</v>
      </c>
      <c r="P1059" s="9">
        <v>0</v>
      </c>
      <c r="Q1059" s="9">
        <v>1</v>
      </c>
      <c r="R1059" s="9">
        <v>0</v>
      </c>
      <c r="S1059" s="9">
        <v>1</v>
      </c>
      <c r="T1059" s="9">
        <v>1</v>
      </c>
      <c r="U1059" s="9">
        <v>0</v>
      </c>
      <c r="V1059" s="9">
        <v>0</v>
      </c>
      <c r="W1059" s="9">
        <v>1</v>
      </c>
      <c r="X1059" s="1">
        <f t="shared" si="8"/>
        <v>9</v>
      </c>
    </row>
    <row r="1060" spans="2:24" ht="13.2" x14ac:dyDescent="0.25">
      <c r="B1060" s="109"/>
      <c r="C1060" s="9">
        <v>2020</v>
      </c>
      <c r="D1060" s="9">
        <v>1</v>
      </c>
      <c r="E1060" s="9">
        <v>0</v>
      </c>
      <c r="F1060" s="9">
        <v>1</v>
      </c>
      <c r="G1060" s="9">
        <v>1</v>
      </c>
      <c r="H1060" s="9">
        <v>1</v>
      </c>
      <c r="I1060" s="9">
        <v>1</v>
      </c>
      <c r="J1060" s="9">
        <v>1</v>
      </c>
      <c r="K1060" s="9">
        <v>0</v>
      </c>
      <c r="L1060" s="9">
        <v>1</v>
      </c>
      <c r="M1060" s="9">
        <v>0</v>
      </c>
      <c r="N1060" s="9">
        <v>0</v>
      </c>
      <c r="O1060" s="9">
        <v>1</v>
      </c>
      <c r="P1060" s="9">
        <v>0</v>
      </c>
      <c r="Q1060" s="9">
        <v>0</v>
      </c>
      <c r="R1060" s="9">
        <v>0</v>
      </c>
      <c r="S1060" s="9">
        <v>0</v>
      </c>
      <c r="T1060" s="9">
        <v>0</v>
      </c>
      <c r="U1060" s="9">
        <v>0</v>
      </c>
      <c r="V1060" s="9">
        <v>0</v>
      </c>
      <c r="W1060" s="9">
        <v>0</v>
      </c>
      <c r="X1060" s="1">
        <f t="shared" si="8"/>
        <v>8</v>
      </c>
    </row>
    <row r="1061" spans="2:24" ht="13.2" x14ac:dyDescent="0.25">
      <c r="B1061" s="109"/>
      <c r="C1061" s="9">
        <v>2021</v>
      </c>
      <c r="D1061" s="9">
        <v>0</v>
      </c>
      <c r="E1061" s="9">
        <v>1</v>
      </c>
      <c r="F1061" s="9">
        <v>1</v>
      </c>
      <c r="G1061" s="9">
        <v>0</v>
      </c>
      <c r="H1061" s="9">
        <v>1</v>
      </c>
      <c r="I1061" s="9">
        <v>0</v>
      </c>
      <c r="J1061" s="9">
        <v>1</v>
      </c>
      <c r="K1061" s="9">
        <v>1</v>
      </c>
      <c r="L1061" s="9">
        <v>0</v>
      </c>
      <c r="M1061" s="9">
        <v>0</v>
      </c>
      <c r="N1061" s="9">
        <v>1</v>
      </c>
      <c r="O1061" s="9">
        <v>0</v>
      </c>
      <c r="P1061" s="9">
        <v>1</v>
      </c>
      <c r="Q1061" s="9">
        <v>0</v>
      </c>
      <c r="R1061" s="9">
        <v>1</v>
      </c>
      <c r="S1061" s="9">
        <v>1</v>
      </c>
      <c r="T1061" s="9">
        <v>1</v>
      </c>
      <c r="U1061" s="9">
        <v>0</v>
      </c>
      <c r="V1061" s="9">
        <v>0</v>
      </c>
      <c r="W1061" s="9">
        <v>0</v>
      </c>
      <c r="X1061" s="1">
        <f t="shared" si="8"/>
        <v>10</v>
      </c>
    </row>
    <row r="1062" spans="2:24" ht="13.2" x14ac:dyDescent="0.25">
      <c r="B1062" s="110"/>
      <c r="C1062" s="9">
        <v>2022</v>
      </c>
      <c r="D1062" s="9">
        <v>0</v>
      </c>
      <c r="E1062" s="9">
        <v>0</v>
      </c>
      <c r="F1062" s="9">
        <v>1</v>
      </c>
      <c r="G1062" s="9">
        <v>0</v>
      </c>
      <c r="H1062" s="9">
        <v>1</v>
      </c>
      <c r="I1062" s="9">
        <v>1</v>
      </c>
      <c r="J1062" s="9">
        <v>1</v>
      </c>
      <c r="K1062" s="9">
        <v>1</v>
      </c>
      <c r="L1062" s="9">
        <v>0</v>
      </c>
      <c r="M1062" s="9">
        <v>1</v>
      </c>
      <c r="N1062" s="9">
        <v>1</v>
      </c>
      <c r="O1062" s="9">
        <v>1</v>
      </c>
      <c r="P1062" s="9">
        <v>1</v>
      </c>
      <c r="Q1062" s="9">
        <v>1</v>
      </c>
      <c r="R1062" s="9">
        <v>1</v>
      </c>
      <c r="S1062" s="9">
        <v>0</v>
      </c>
      <c r="T1062" s="9">
        <v>0</v>
      </c>
      <c r="U1062" s="9">
        <v>0</v>
      </c>
      <c r="V1062" s="9">
        <v>1</v>
      </c>
      <c r="W1062" s="9">
        <v>0</v>
      </c>
      <c r="X1062" s="1">
        <f t="shared" si="8"/>
        <v>12</v>
      </c>
    </row>
    <row r="1063" spans="2:24" ht="13.2" x14ac:dyDescent="0.25">
      <c r="B1063" s="108" t="s">
        <v>179</v>
      </c>
      <c r="C1063" s="9">
        <v>2018</v>
      </c>
      <c r="D1063" s="9">
        <v>1</v>
      </c>
      <c r="E1063" s="9">
        <v>0</v>
      </c>
      <c r="F1063" s="9">
        <v>0</v>
      </c>
      <c r="G1063" s="9">
        <v>1</v>
      </c>
      <c r="H1063" s="9">
        <v>0</v>
      </c>
      <c r="I1063" s="9">
        <v>0</v>
      </c>
      <c r="J1063" s="9">
        <v>1</v>
      </c>
      <c r="K1063" s="9">
        <v>0</v>
      </c>
      <c r="L1063" s="9">
        <v>0</v>
      </c>
      <c r="M1063" s="9">
        <v>1</v>
      </c>
      <c r="N1063" s="9">
        <v>0</v>
      </c>
      <c r="O1063" s="9">
        <v>1</v>
      </c>
      <c r="P1063" s="9">
        <v>1</v>
      </c>
      <c r="Q1063" s="9">
        <v>0</v>
      </c>
      <c r="R1063" s="9">
        <v>0</v>
      </c>
      <c r="S1063" s="9">
        <v>0</v>
      </c>
      <c r="T1063" s="9">
        <v>0</v>
      </c>
      <c r="U1063" s="9">
        <v>0</v>
      </c>
      <c r="V1063" s="9">
        <v>0</v>
      </c>
      <c r="W1063" s="9">
        <v>0</v>
      </c>
      <c r="X1063" s="1">
        <f t="shared" si="8"/>
        <v>6</v>
      </c>
    </row>
    <row r="1064" spans="2:24" ht="13.2" x14ac:dyDescent="0.25">
      <c r="B1064" s="109"/>
      <c r="C1064" s="9">
        <v>2019</v>
      </c>
      <c r="D1064" s="9">
        <v>1</v>
      </c>
      <c r="E1064" s="9">
        <v>0</v>
      </c>
      <c r="F1064" s="9">
        <v>1</v>
      </c>
      <c r="G1064" s="9">
        <v>1</v>
      </c>
      <c r="H1064" s="9">
        <v>0</v>
      </c>
      <c r="I1064" s="9">
        <v>1</v>
      </c>
      <c r="J1064" s="9">
        <v>1</v>
      </c>
      <c r="K1064" s="9">
        <v>0</v>
      </c>
      <c r="L1064" s="9">
        <v>0</v>
      </c>
      <c r="M1064" s="9">
        <v>1</v>
      </c>
      <c r="N1064" s="9">
        <v>1</v>
      </c>
      <c r="O1064" s="9">
        <v>1</v>
      </c>
      <c r="P1064" s="9">
        <v>1</v>
      </c>
      <c r="Q1064" s="9">
        <v>0</v>
      </c>
      <c r="R1064" s="9">
        <v>1</v>
      </c>
      <c r="S1064" s="9">
        <v>1</v>
      </c>
      <c r="T1064" s="9">
        <v>0</v>
      </c>
      <c r="U1064" s="9">
        <v>1</v>
      </c>
      <c r="V1064" s="9">
        <v>0</v>
      </c>
      <c r="W1064" s="9">
        <v>0</v>
      </c>
      <c r="X1064" s="1">
        <f t="shared" si="8"/>
        <v>12</v>
      </c>
    </row>
    <row r="1065" spans="2:24" ht="13.2" x14ac:dyDescent="0.25">
      <c r="B1065" s="109"/>
      <c r="C1065" s="9">
        <v>2020</v>
      </c>
      <c r="D1065" s="9">
        <v>0</v>
      </c>
      <c r="E1065" s="9">
        <v>0</v>
      </c>
      <c r="F1065" s="9">
        <v>0</v>
      </c>
      <c r="G1065" s="9">
        <v>1</v>
      </c>
      <c r="H1065" s="9">
        <v>0</v>
      </c>
      <c r="I1065" s="9">
        <v>1</v>
      </c>
      <c r="J1065" s="9">
        <v>1</v>
      </c>
      <c r="K1065" s="9">
        <v>1</v>
      </c>
      <c r="L1065" s="9">
        <v>0</v>
      </c>
      <c r="M1065" s="9">
        <v>1</v>
      </c>
      <c r="N1065" s="9">
        <v>1</v>
      </c>
      <c r="O1065" s="9">
        <v>1</v>
      </c>
      <c r="P1065" s="9">
        <v>0</v>
      </c>
      <c r="Q1065" s="9">
        <v>0</v>
      </c>
      <c r="R1065" s="9">
        <v>0</v>
      </c>
      <c r="S1065" s="9">
        <v>0</v>
      </c>
      <c r="T1065" s="9">
        <v>1</v>
      </c>
      <c r="U1065" s="9">
        <v>1</v>
      </c>
      <c r="V1065" s="9">
        <v>0</v>
      </c>
      <c r="W1065" s="9">
        <v>1</v>
      </c>
      <c r="X1065" s="1">
        <f t="shared" si="8"/>
        <v>10</v>
      </c>
    </row>
    <row r="1066" spans="2:24" ht="13.2" x14ac:dyDescent="0.25">
      <c r="B1066" s="109"/>
      <c r="C1066" s="9">
        <v>2021</v>
      </c>
      <c r="D1066" s="9">
        <v>1</v>
      </c>
      <c r="E1066" s="9">
        <v>1</v>
      </c>
      <c r="F1066" s="9">
        <v>1</v>
      </c>
      <c r="G1066" s="9">
        <v>1</v>
      </c>
      <c r="H1066" s="9">
        <v>0</v>
      </c>
      <c r="I1066" s="9">
        <v>0</v>
      </c>
      <c r="J1066" s="9">
        <v>1</v>
      </c>
      <c r="K1066" s="9">
        <v>0</v>
      </c>
      <c r="L1066" s="9">
        <v>0</v>
      </c>
      <c r="M1066" s="9">
        <v>1</v>
      </c>
      <c r="N1066" s="9">
        <v>1</v>
      </c>
      <c r="O1066" s="9">
        <v>0</v>
      </c>
      <c r="P1066" s="9">
        <v>0</v>
      </c>
      <c r="Q1066" s="9">
        <v>0</v>
      </c>
      <c r="R1066" s="9">
        <v>0</v>
      </c>
      <c r="S1066" s="9">
        <v>0</v>
      </c>
      <c r="T1066" s="9">
        <v>1</v>
      </c>
      <c r="U1066" s="9">
        <v>0</v>
      </c>
      <c r="V1066" s="9">
        <v>1</v>
      </c>
      <c r="W1066" s="9">
        <v>0</v>
      </c>
      <c r="X1066" s="1">
        <f t="shared" si="8"/>
        <v>9</v>
      </c>
    </row>
    <row r="1067" spans="2:24" ht="13.2" x14ac:dyDescent="0.25">
      <c r="B1067" s="110"/>
      <c r="C1067" s="9">
        <v>2022</v>
      </c>
      <c r="D1067" s="9">
        <v>1</v>
      </c>
      <c r="E1067" s="9">
        <v>0</v>
      </c>
      <c r="F1067" s="9">
        <v>1</v>
      </c>
      <c r="G1067" s="9">
        <v>1</v>
      </c>
      <c r="H1067" s="9">
        <v>0</v>
      </c>
      <c r="I1067" s="9">
        <v>0</v>
      </c>
      <c r="J1067" s="9">
        <v>0</v>
      </c>
      <c r="K1067" s="9">
        <v>1</v>
      </c>
      <c r="L1067" s="9">
        <v>0</v>
      </c>
      <c r="M1067" s="9">
        <v>1</v>
      </c>
      <c r="N1067" s="9">
        <v>1</v>
      </c>
      <c r="O1067" s="9">
        <v>1</v>
      </c>
      <c r="P1067" s="9">
        <v>1</v>
      </c>
      <c r="Q1067" s="9">
        <v>1</v>
      </c>
      <c r="R1067" s="9">
        <v>0</v>
      </c>
      <c r="S1067" s="9">
        <v>0</v>
      </c>
      <c r="T1067" s="9">
        <v>1</v>
      </c>
      <c r="U1067" s="9">
        <v>1</v>
      </c>
      <c r="V1067" s="9">
        <v>1</v>
      </c>
      <c r="W1067" s="9">
        <v>0</v>
      </c>
      <c r="X1067" s="1">
        <f t="shared" si="8"/>
        <v>12</v>
      </c>
    </row>
    <row r="1068" spans="2:24" ht="13.2" x14ac:dyDescent="0.25">
      <c r="B1068" s="108" t="s">
        <v>180</v>
      </c>
      <c r="C1068" s="9">
        <v>2018</v>
      </c>
      <c r="D1068" s="9">
        <v>0</v>
      </c>
      <c r="E1068" s="9">
        <v>0</v>
      </c>
      <c r="F1068" s="9">
        <v>0</v>
      </c>
      <c r="G1068" s="9">
        <v>0</v>
      </c>
      <c r="H1068" s="9">
        <v>1</v>
      </c>
      <c r="I1068" s="9">
        <v>0</v>
      </c>
      <c r="J1068" s="9">
        <v>0</v>
      </c>
      <c r="K1068" s="9">
        <v>1</v>
      </c>
      <c r="L1068" s="9">
        <v>0</v>
      </c>
      <c r="M1068" s="9">
        <v>0</v>
      </c>
      <c r="N1068" s="9">
        <v>1</v>
      </c>
      <c r="O1068" s="9">
        <v>0</v>
      </c>
      <c r="P1068" s="9">
        <v>1</v>
      </c>
      <c r="Q1068" s="9">
        <v>0</v>
      </c>
      <c r="R1068" s="9">
        <v>1</v>
      </c>
      <c r="S1068" s="9">
        <v>1</v>
      </c>
      <c r="T1068" s="9">
        <v>0</v>
      </c>
      <c r="U1068" s="9">
        <v>0</v>
      </c>
      <c r="V1068" s="9">
        <v>0</v>
      </c>
      <c r="W1068" s="9">
        <v>0</v>
      </c>
      <c r="X1068" s="1">
        <f t="shared" si="8"/>
        <v>6</v>
      </c>
    </row>
    <row r="1069" spans="2:24" ht="13.2" x14ac:dyDescent="0.25">
      <c r="B1069" s="109"/>
      <c r="C1069" s="9">
        <v>2019</v>
      </c>
      <c r="D1069" s="9">
        <v>1</v>
      </c>
      <c r="E1069" s="9">
        <v>1</v>
      </c>
      <c r="F1069" s="9">
        <v>0</v>
      </c>
      <c r="G1069" s="9">
        <v>0</v>
      </c>
      <c r="H1069" s="9">
        <v>1</v>
      </c>
      <c r="I1069" s="9">
        <v>1</v>
      </c>
      <c r="J1069" s="9">
        <v>0</v>
      </c>
      <c r="K1069" s="9">
        <v>1</v>
      </c>
      <c r="L1069" s="9">
        <v>0</v>
      </c>
      <c r="M1069" s="9">
        <v>0</v>
      </c>
      <c r="N1069" s="9">
        <v>0</v>
      </c>
      <c r="O1069" s="9">
        <v>0</v>
      </c>
      <c r="P1069" s="9">
        <v>0</v>
      </c>
      <c r="Q1069" s="9">
        <v>0</v>
      </c>
      <c r="R1069" s="9">
        <v>0</v>
      </c>
      <c r="S1069" s="9">
        <v>1</v>
      </c>
      <c r="T1069" s="9">
        <v>1</v>
      </c>
      <c r="U1069" s="9">
        <v>0</v>
      </c>
      <c r="V1069" s="9">
        <v>1</v>
      </c>
      <c r="W1069" s="9">
        <v>1</v>
      </c>
      <c r="X1069" s="1">
        <f t="shared" si="8"/>
        <v>9</v>
      </c>
    </row>
    <row r="1070" spans="2:24" ht="13.2" x14ac:dyDescent="0.25">
      <c r="B1070" s="109"/>
      <c r="C1070" s="9">
        <v>2020</v>
      </c>
      <c r="D1070" s="9">
        <v>1</v>
      </c>
      <c r="E1070" s="9">
        <v>1</v>
      </c>
      <c r="F1070" s="9">
        <v>1</v>
      </c>
      <c r="G1070" s="9">
        <v>1</v>
      </c>
      <c r="H1070" s="9">
        <v>1</v>
      </c>
      <c r="I1070" s="9">
        <v>1</v>
      </c>
      <c r="J1070" s="9">
        <v>1</v>
      </c>
      <c r="K1070" s="9">
        <v>0</v>
      </c>
      <c r="L1070" s="9">
        <v>0</v>
      </c>
      <c r="M1070" s="9">
        <v>1</v>
      </c>
      <c r="N1070" s="9">
        <v>0</v>
      </c>
      <c r="O1070" s="9">
        <v>1</v>
      </c>
      <c r="P1070" s="9">
        <v>0</v>
      </c>
      <c r="Q1070" s="9">
        <v>0</v>
      </c>
      <c r="R1070" s="9">
        <v>0</v>
      </c>
      <c r="S1070" s="9">
        <v>1</v>
      </c>
      <c r="T1070" s="9">
        <v>1</v>
      </c>
      <c r="U1070" s="9">
        <v>0</v>
      </c>
      <c r="V1070" s="9">
        <v>1</v>
      </c>
      <c r="W1070" s="9">
        <v>0</v>
      </c>
      <c r="X1070" s="1">
        <f t="shared" si="8"/>
        <v>12</v>
      </c>
    </row>
    <row r="1071" spans="2:24" ht="13.2" x14ac:dyDescent="0.25">
      <c r="B1071" s="109"/>
      <c r="C1071" s="9">
        <v>2021</v>
      </c>
      <c r="D1071" s="9">
        <v>0</v>
      </c>
      <c r="E1071" s="9">
        <v>0</v>
      </c>
      <c r="F1071" s="9">
        <v>0</v>
      </c>
      <c r="G1071" s="9">
        <v>0</v>
      </c>
      <c r="H1071" s="9">
        <v>0</v>
      </c>
      <c r="I1071" s="9">
        <v>1</v>
      </c>
      <c r="J1071" s="9">
        <v>1</v>
      </c>
      <c r="K1071" s="9">
        <v>0</v>
      </c>
      <c r="L1071" s="9">
        <v>0</v>
      </c>
      <c r="M1071" s="9">
        <v>1</v>
      </c>
      <c r="N1071" s="9">
        <v>1</v>
      </c>
      <c r="O1071" s="9">
        <v>0</v>
      </c>
      <c r="P1071" s="9">
        <v>1</v>
      </c>
      <c r="Q1071" s="9">
        <v>1</v>
      </c>
      <c r="R1071" s="9">
        <v>1</v>
      </c>
      <c r="S1071" s="9">
        <v>1</v>
      </c>
      <c r="T1071" s="9">
        <v>1</v>
      </c>
      <c r="U1071" s="9">
        <v>0</v>
      </c>
      <c r="V1071" s="9">
        <v>1</v>
      </c>
      <c r="W1071" s="9">
        <v>1</v>
      </c>
      <c r="X1071" s="1">
        <f t="shared" si="8"/>
        <v>11</v>
      </c>
    </row>
    <row r="1072" spans="2:24" ht="13.2" x14ac:dyDescent="0.25">
      <c r="B1072" s="110"/>
      <c r="C1072" s="9">
        <v>2022</v>
      </c>
      <c r="D1072" s="9">
        <v>1</v>
      </c>
      <c r="E1072" s="9">
        <v>1</v>
      </c>
      <c r="F1072" s="9">
        <v>1</v>
      </c>
      <c r="G1072" s="9">
        <v>0</v>
      </c>
      <c r="H1072" s="9">
        <v>1</v>
      </c>
      <c r="I1072" s="9">
        <v>1</v>
      </c>
      <c r="J1072" s="9">
        <v>0</v>
      </c>
      <c r="K1072" s="9">
        <v>1</v>
      </c>
      <c r="L1072" s="9">
        <v>0</v>
      </c>
      <c r="M1072" s="9">
        <v>0</v>
      </c>
      <c r="N1072" s="9">
        <v>0</v>
      </c>
      <c r="O1072" s="9">
        <v>1</v>
      </c>
      <c r="P1072" s="9">
        <v>1</v>
      </c>
      <c r="Q1072" s="9">
        <v>0</v>
      </c>
      <c r="R1072" s="9">
        <v>0</v>
      </c>
      <c r="S1072" s="9">
        <v>1</v>
      </c>
      <c r="T1072" s="9">
        <v>1</v>
      </c>
      <c r="U1072" s="9">
        <v>1</v>
      </c>
      <c r="V1072" s="9">
        <v>1</v>
      </c>
      <c r="W1072" s="9">
        <v>1</v>
      </c>
      <c r="X1072" s="1">
        <f t="shared" si="8"/>
        <v>13</v>
      </c>
    </row>
    <row r="1073" spans="2:24" ht="13.2" x14ac:dyDescent="0.25">
      <c r="B1073" s="108" t="s">
        <v>181</v>
      </c>
      <c r="C1073" s="9">
        <v>2018</v>
      </c>
      <c r="D1073" s="9">
        <v>0</v>
      </c>
      <c r="E1073" s="9">
        <v>1</v>
      </c>
      <c r="F1073" s="9">
        <v>0</v>
      </c>
      <c r="G1073" s="9">
        <v>0</v>
      </c>
      <c r="H1073" s="9">
        <v>0</v>
      </c>
      <c r="I1073" s="9">
        <v>1</v>
      </c>
      <c r="J1073" s="9">
        <v>1</v>
      </c>
      <c r="K1073" s="9">
        <v>1</v>
      </c>
      <c r="L1073" s="9">
        <v>0</v>
      </c>
      <c r="M1073" s="9">
        <v>1</v>
      </c>
      <c r="N1073" s="9">
        <v>1</v>
      </c>
      <c r="O1073" s="9">
        <v>1</v>
      </c>
      <c r="P1073" s="9">
        <v>1</v>
      </c>
      <c r="Q1073" s="9">
        <v>0</v>
      </c>
      <c r="R1073" s="9">
        <v>1</v>
      </c>
      <c r="S1073" s="9">
        <v>1</v>
      </c>
      <c r="T1073" s="9">
        <v>1</v>
      </c>
      <c r="U1073" s="9">
        <v>0</v>
      </c>
      <c r="V1073" s="9">
        <v>1</v>
      </c>
      <c r="W1073" s="9">
        <v>0</v>
      </c>
      <c r="X1073" s="1">
        <f t="shared" si="8"/>
        <v>12</v>
      </c>
    </row>
    <row r="1074" spans="2:24" ht="13.2" x14ac:dyDescent="0.25">
      <c r="B1074" s="109"/>
      <c r="C1074" s="9">
        <v>2019</v>
      </c>
      <c r="D1074" s="9">
        <v>0</v>
      </c>
      <c r="E1074" s="9">
        <v>0</v>
      </c>
      <c r="F1074" s="9">
        <v>0</v>
      </c>
      <c r="G1074" s="9">
        <v>1</v>
      </c>
      <c r="H1074" s="9">
        <v>0</v>
      </c>
      <c r="I1074" s="9">
        <v>1</v>
      </c>
      <c r="J1074" s="9">
        <v>1</v>
      </c>
      <c r="K1074" s="9">
        <v>1</v>
      </c>
      <c r="L1074" s="9">
        <v>0</v>
      </c>
      <c r="M1074" s="9">
        <v>0</v>
      </c>
      <c r="N1074" s="9">
        <v>1</v>
      </c>
      <c r="O1074" s="9">
        <v>1</v>
      </c>
      <c r="P1074" s="9">
        <v>1</v>
      </c>
      <c r="Q1074" s="9">
        <v>1</v>
      </c>
      <c r="R1074" s="9">
        <v>0</v>
      </c>
      <c r="S1074" s="9">
        <v>1</v>
      </c>
      <c r="T1074" s="9">
        <v>1</v>
      </c>
      <c r="U1074" s="9">
        <v>1</v>
      </c>
      <c r="V1074" s="9">
        <v>0</v>
      </c>
      <c r="W1074" s="9">
        <v>0</v>
      </c>
      <c r="X1074" s="1">
        <f t="shared" si="8"/>
        <v>11</v>
      </c>
    </row>
    <row r="1075" spans="2:24" ht="13.2" x14ac:dyDescent="0.25">
      <c r="B1075" s="109"/>
      <c r="C1075" s="9">
        <v>2020</v>
      </c>
      <c r="D1075" s="9">
        <v>1</v>
      </c>
      <c r="E1075" s="9">
        <v>1</v>
      </c>
      <c r="F1075" s="9">
        <v>0</v>
      </c>
      <c r="G1075" s="9">
        <v>0</v>
      </c>
      <c r="H1075" s="9">
        <v>1</v>
      </c>
      <c r="I1075" s="9">
        <v>0</v>
      </c>
      <c r="J1075" s="9">
        <v>1</v>
      </c>
      <c r="K1075" s="9">
        <v>0</v>
      </c>
      <c r="L1075" s="9">
        <v>0</v>
      </c>
      <c r="M1075" s="9">
        <v>1</v>
      </c>
      <c r="N1075" s="9">
        <v>0</v>
      </c>
      <c r="O1075" s="9">
        <v>0</v>
      </c>
      <c r="P1075" s="9">
        <v>1</v>
      </c>
      <c r="Q1075" s="9">
        <v>0</v>
      </c>
      <c r="R1075" s="9">
        <v>1</v>
      </c>
      <c r="S1075" s="9">
        <v>0</v>
      </c>
      <c r="T1075" s="9">
        <v>1</v>
      </c>
      <c r="U1075" s="9">
        <v>1</v>
      </c>
      <c r="V1075" s="9">
        <v>0</v>
      </c>
      <c r="W1075" s="9">
        <v>0</v>
      </c>
      <c r="X1075" s="1">
        <f t="shared" si="8"/>
        <v>9</v>
      </c>
    </row>
    <row r="1076" spans="2:24" ht="13.2" x14ac:dyDescent="0.25">
      <c r="B1076" s="109"/>
      <c r="C1076" s="9">
        <v>2021</v>
      </c>
      <c r="D1076" s="9">
        <v>1</v>
      </c>
      <c r="E1076" s="9">
        <v>1</v>
      </c>
      <c r="F1076" s="9">
        <v>0</v>
      </c>
      <c r="G1076" s="9">
        <v>0</v>
      </c>
      <c r="H1076" s="9">
        <v>0</v>
      </c>
      <c r="I1076" s="9">
        <v>1</v>
      </c>
      <c r="J1076" s="9">
        <v>1</v>
      </c>
      <c r="K1076" s="9">
        <v>0</v>
      </c>
      <c r="L1076" s="9">
        <v>0</v>
      </c>
      <c r="M1076" s="9">
        <v>0</v>
      </c>
      <c r="N1076" s="9">
        <v>1</v>
      </c>
      <c r="O1076" s="9">
        <v>1</v>
      </c>
      <c r="P1076" s="9">
        <v>0</v>
      </c>
      <c r="Q1076" s="9">
        <v>0</v>
      </c>
      <c r="R1076" s="9">
        <v>0</v>
      </c>
      <c r="S1076" s="9">
        <v>1</v>
      </c>
      <c r="T1076" s="9">
        <v>1</v>
      </c>
      <c r="U1076" s="9">
        <v>1</v>
      </c>
      <c r="V1076" s="9">
        <v>1</v>
      </c>
      <c r="W1076" s="9">
        <v>0</v>
      </c>
      <c r="X1076" s="1">
        <f t="shared" si="8"/>
        <v>10</v>
      </c>
    </row>
    <row r="1077" spans="2:24" ht="13.2" x14ac:dyDescent="0.25">
      <c r="B1077" s="110"/>
      <c r="C1077" s="9">
        <v>2022</v>
      </c>
      <c r="D1077" s="9">
        <v>0</v>
      </c>
      <c r="E1077" s="9">
        <v>1</v>
      </c>
      <c r="F1077" s="9">
        <v>1</v>
      </c>
      <c r="G1077" s="9">
        <v>0</v>
      </c>
      <c r="H1077" s="9">
        <v>1</v>
      </c>
      <c r="I1077" s="9">
        <v>1</v>
      </c>
      <c r="J1077" s="9">
        <v>1</v>
      </c>
      <c r="K1077" s="9">
        <v>0</v>
      </c>
      <c r="L1077" s="9">
        <v>0</v>
      </c>
      <c r="M1077" s="9">
        <v>0</v>
      </c>
      <c r="N1077" s="9">
        <v>0</v>
      </c>
      <c r="O1077" s="9">
        <v>1</v>
      </c>
      <c r="P1077" s="9">
        <v>1</v>
      </c>
      <c r="Q1077" s="9">
        <v>0</v>
      </c>
      <c r="R1077" s="9">
        <v>1</v>
      </c>
      <c r="S1077" s="9">
        <v>0</v>
      </c>
      <c r="T1077" s="9">
        <v>0</v>
      </c>
      <c r="U1077" s="9">
        <v>1</v>
      </c>
      <c r="V1077" s="9">
        <v>0</v>
      </c>
      <c r="W1077" s="9">
        <v>1</v>
      </c>
      <c r="X1077" s="1">
        <f t="shared" si="8"/>
        <v>10</v>
      </c>
    </row>
    <row r="1078" spans="2:24" ht="13.2" x14ac:dyDescent="0.25">
      <c r="B1078" s="108" t="s">
        <v>182</v>
      </c>
      <c r="C1078" s="9">
        <v>2018</v>
      </c>
      <c r="D1078" s="9">
        <v>1</v>
      </c>
      <c r="E1078" s="9">
        <v>1</v>
      </c>
      <c r="F1078" s="9">
        <v>1</v>
      </c>
      <c r="G1078" s="9">
        <v>0</v>
      </c>
      <c r="H1078" s="9">
        <v>1</v>
      </c>
      <c r="I1078" s="9">
        <v>0</v>
      </c>
      <c r="J1078" s="9">
        <v>1</v>
      </c>
      <c r="K1078" s="9">
        <v>1</v>
      </c>
      <c r="L1078" s="9">
        <v>1</v>
      </c>
      <c r="M1078" s="9">
        <v>1</v>
      </c>
      <c r="N1078" s="9">
        <v>1</v>
      </c>
      <c r="O1078" s="9">
        <v>0</v>
      </c>
      <c r="P1078" s="9">
        <v>1</v>
      </c>
      <c r="Q1078" s="9">
        <v>1</v>
      </c>
      <c r="R1078" s="9">
        <v>0</v>
      </c>
      <c r="S1078" s="9">
        <v>1</v>
      </c>
      <c r="T1078" s="9">
        <v>0</v>
      </c>
      <c r="U1078" s="9">
        <v>0</v>
      </c>
      <c r="V1078" s="9">
        <v>1</v>
      </c>
      <c r="W1078" s="9">
        <v>1</v>
      </c>
      <c r="X1078" s="1">
        <f t="shared" si="8"/>
        <v>14</v>
      </c>
    </row>
    <row r="1079" spans="2:24" ht="13.2" x14ac:dyDescent="0.25">
      <c r="B1079" s="109"/>
      <c r="C1079" s="9">
        <v>2019</v>
      </c>
      <c r="D1079" s="9">
        <v>1</v>
      </c>
      <c r="E1079" s="9">
        <v>0</v>
      </c>
      <c r="F1079" s="9">
        <v>1</v>
      </c>
      <c r="G1079" s="9">
        <v>0</v>
      </c>
      <c r="H1079" s="9">
        <v>0</v>
      </c>
      <c r="I1079" s="9">
        <v>1</v>
      </c>
      <c r="J1079" s="9">
        <v>0</v>
      </c>
      <c r="K1079" s="9">
        <v>0</v>
      </c>
      <c r="L1079" s="9">
        <v>0</v>
      </c>
      <c r="M1079" s="9">
        <v>1</v>
      </c>
      <c r="N1079" s="9">
        <v>1</v>
      </c>
      <c r="O1079" s="9">
        <v>0</v>
      </c>
      <c r="P1079" s="9">
        <v>1</v>
      </c>
      <c r="Q1079" s="9">
        <v>0</v>
      </c>
      <c r="R1079" s="9">
        <v>0</v>
      </c>
      <c r="S1079" s="9">
        <v>1</v>
      </c>
      <c r="T1079" s="9">
        <v>0</v>
      </c>
      <c r="U1079" s="9">
        <v>0</v>
      </c>
      <c r="V1079" s="9">
        <v>0</v>
      </c>
      <c r="W1079" s="9">
        <v>1</v>
      </c>
      <c r="X1079" s="1">
        <f t="shared" si="8"/>
        <v>8</v>
      </c>
    </row>
    <row r="1080" spans="2:24" ht="13.2" x14ac:dyDescent="0.25">
      <c r="B1080" s="109"/>
      <c r="C1080" s="9">
        <v>2020</v>
      </c>
      <c r="D1080" s="9">
        <v>0</v>
      </c>
      <c r="E1080" s="9">
        <v>1</v>
      </c>
      <c r="F1080" s="9">
        <v>1</v>
      </c>
      <c r="G1080" s="9">
        <v>1</v>
      </c>
      <c r="H1080" s="9">
        <v>0</v>
      </c>
      <c r="I1080" s="9">
        <v>1</v>
      </c>
      <c r="J1080" s="9">
        <v>1</v>
      </c>
      <c r="K1080" s="9">
        <v>0</v>
      </c>
      <c r="L1080" s="9">
        <v>1</v>
      </c>
      <c r="M1080" s="9">
        <v>1</v>
      </c>
      <c r="N1080" s="9">
        <v>1</v>
      </c>
      <c r="O1080" s="9">
        <v>1</v>
      </c>
      <c r="P1080" s="9">
        <v>1</v>
      </c>
      <c r="Q1080" s="9">
        <v>1</v>
      </c>
      <c r="R1080" s="9">
        <v>1</v>
      </c>
      <c r="S1080" s="9">
        <v>0</v>
      </c>
      <c r="T1080" s="9">
        <v>0</v>
      </c>
      <c r="U1080" s="9">
        <v>1</v>
      </c>
      <c r="V1080" s="9">
        <v>0</v>
      </c>
      <c r="W1080" s="9">
        <v>1</v>
      </c>
      <c r="X1080" s="1">
        <f t="shared" si="8"/>
        <v>14</v>
      </c>
    </row>
    <row r="1081" spans="2:24" ht="13.2" x14ac:dyDescent="0.25">
      <c r="B1081" s="109"/>
      <c r="C1081" s="9">
        <v>2021</v>
      </c>
      <c r="D1081" s="9">
        <v>1</v>
      </c>
      <c r="E1081" s="9">
        <v>1</v>
      </c>
      <c r="F1081" s="9">
        <v>0</v>
      </c>
      <c r="G1081" s="9">
        <v>0</v>
      </c>
      <c r="H1081" s="9">
        <v>0</v>
      </c>
      <c r="I1081" s="9">
        <v>1</v>
      </c>
      <c r="J1081" s="9">
        <v>0</v>
      </c>
      <c r="K1081" s="9">
        <v>1</v>
      </c>
      <c r="L1081" s="9">
        <v>1</v>
      </c>
      <c r="M1081" s="9">
        <v>0</v>
      </c>
      <c r="N1081" s="9">
        <v>1</v>
      </c>
      <c r="O1081" s="9">
        <v>0</v>
      </c>
      <c r="P1081" s="9">
        <v>1</v>
      </c>
      <c r="Q1081" s="9">
        <v>1</v>
      </c>
      <c r="R1081" s="9">
        <v>0</v>
      </c>
      <c r="S1081" s="9">
        <v>0</v>
      </c>
      <c r="T1081" s="9">
        <v>1</v>
      </c>
      <c r="U1081" s="9">
        <v>1</v>
      </c>
      <c r="V1081" s="9">
        <v>0</v>
      </c>
      <c r="W1081" s="9">
        <v>1</v>
      </c>
      <c r="X1081" s="1">
        <f t="shared" si="8"/>
        <v>11</v>
      </c>
    </row>
    <row r="1082" spans="2:24" ht="13.2" x14ac:dyDescent="0.25">
      <c r="B1082" s="110"/>
      <c r="C1082" s="9">
        <v>2022</v>
      </c>
      <c r="D1082" s="9">
        <v>0</v>
      </c>
      <c r="E1082" s="9">
        <v>1</v>
      </c>
      <c r="F1082" s="9">
        <v>0</v>
      </c>
      <c r="G1082" s="9">
        <v>0</v>
      </c>
      <c r="H1082" s="9">
        <v>1</v>
      </c>
      <c r="I1082" s="9">
        <v>0</v>
      </c>
      <c r="J1082" s="9">
        <v>1</v>
      </c>
      <c r="K1082" s="9">
        <v>0</v>
      </c>
      <c r="L1082" s="9">
        <v>0</v>
      </c>
      <c r="M1082" s="9">
        <v>1</v>
      </c>
      <c r="N1082" s="9">
        <v>0</v>
      </c>
      <c r="O1082" s="9">
        <v>0</v>
      </c>
      <c r="P1082" s="9">
        <v>1</v>
      </c>
      <c r="Q1082" s="9">
        <v>1</v>
      </c>
      <c r="R1082" s="9">
        <v>1</v>
      </c>
      <c r="S1082" s="9">
        <v>1</v>
      </c>
      <c r="T1082" s="9">
        <v>0</v>
      </c>
      <c r="U1082" s="9">
        <v>1</v>
      </c>
      <c r="V1082" s="9">
        <v>0</v>
      </c>
      <c r="W1082" s="9">
        <v>1</v>
      </c>
      <c r="X1082" s="1">
        <f t="shared" si="8"/>
        <v>10</v>
      </c>
    </row>
    <row r="1083" spans="2:24" ht="13.2" x14ac:dyDescent="0.25">
      <c r="B1083" s="108" t="s">
        <v>183</v>
      </c>
      <c r="C1083" s="9">
        <v>2018</v>
      </c>
      <c r="D1083" s="9">
        <v>1</v>
      </c>
      <c r="E1083" s="9">
        <v>0</v>
      </c>
      <c r="F1083" s="9">
        <v>1</v>
      </c>
      <c r="G1083" s="9">
        <v>1</v>
      </c>
      <c r="H1083" s="9">
        <v>0</v>
      </c>
      <c r="I1083" s="9">
        <v>0</v>
      </c>
      <c r="J1083" s="9">
        <v>0</v>
      </c>
      <c r="K1083" s="9">
        <v>1</v>
      </c>
      <c r="L1083" s="9">
        <v>1</v>
      </c>
      <c r="M1083" s="9">
        <v>1</v>
      </c>
      <c r="N1083" s="9">
        <v>0</v>
      </c>
      <c r="O1083" s="9">
        <v>0</v>
      </c>
      <c r="P1083" s="9">
        <v>1</v>
      </c>
      <c r="Q1083" s="9">
        <v>1</v>
      </c>
      <c r="R1083" s="9">
        <v>0</v>
      </c>
      <c r="S1083" s="9">
        <v>1</v>
      </c>
      <c r="T1083" s="9">
        <v>1</v>
      </c>
      <c r="U1083" s="9">
        <v>0</v>
      </c>
      <c r="V1083" s="9">
        <v>0</v>
      </c>
      <c r="W1083" s="9">
        <v>0</v>
      </c>
      <c r="X1083" s="1">
        <f t="shared" si="8"/>
        <v>10</v>
      </c>
    </row>
    <row r="1084" spans="2:24" ht="13.2" x14ac:dyDescent="0.25">
      <c r="B1084" s="109"/>
      <c r="C1084" s="9">
        <v>2019</v>
      </c>
      <c r="D1084" s="9">
        <v>1</v>
      </c>
      <c r="E1084" s="9">
        <v>1</v>
      </c>
      <c r="F1084" s="9">
        <v>0</v>
      </c>
      <c r="G1084" s="9">
        <v>0</v>
      </c>
      <c r="H1084" s="9">
        <v>1</v>
      </c>
      <c r="I1084" s="9">
        <v>1</v>
      </c>
      <c r="J1084" s="9">
        <v>1</v>
      </c>
      <c r="K1084" s="9">
        <v>1</v>
      </c>
      <c r="L1084" s="9">
        <v>0</v>
      </c>
      <c r="M1084" s="9">
        <v>1</v>
      </c>
      <c r="N1084" s="9">
        <v>0</v>
      </c>
      <c r="O1084" s="9">
        <v>1</v>
      </c>
      <c r="P1084" s="9">
        <v>0</v>
      </c>
      <c r="Q1084" s="9">
        <v>1</v>
      </c>
      <c r="R1084" s="9">
        <v>1</v>
      </c>
      <c r="S1084" s="9">
        <v>1</v>
      </c>
      <c r="T1084" s="9">
        <v>1</v>
      </c>
      <c r="U1084" s="9">
        <v>0</v>
      </c>
      <c r="V1084" s="9">
        <v>0</v>
      </c>
      <c r="W1084" s="9">
        <v>1</v>
      </c>
      <c r="X1084" s="1">
        <f t="shared" si="8"/>
        <v>13</v>
      </c>
    </row>
    <row r="1085" spans="2:24" ht="13.2" x14ac:dyDescent="0.25">
      <c r="B1085" s="109"/>
      <c r="C1085" s="9">
        <v>2020</v>
      </c>
      <c r="D1085" s="9">
        <v>1</v>
      </c>
      <c r="E1085" s="9">
        <v>0</v>
      </c>
      <c r="F1085" s="9">
        <v>0</v>
      </c>
      <c r="G1085" s="9">
        <v>0</v>
      </c>
      <c r="H1085" s="9">
        <v>0</v>
      </c>
      <c r="I1085" s="9">
        <v>1</v>
      </c>
      <c r="J1085" s="9">
        <v>0</v>
      </c>
      <c r="K1085" s="9">
        <v>0</v>
      </c>
      <c r="L1085" s="9">
        <v>1</v>
      </c>
      <c r="M1085" s="9">
        <v>0</v>
      </c>
      <c r="N1085" s="9">
        <v>0</v>
      </c>
      <c r="O1085" s="9">
        <v>0</v>
      </c>
      <c r="P1085" s="9">
        <v>1</v>
      </c>
      <c r="Q1085" s="9">
        <v>0</v>
      </c>
      <c r="R1085" s="9">
        <v>0</v>
      </c>
      <c r="S1085" s="9">
        <v>0</v>
      </c>
      <c r="T1085" s="9">
        <v>1</v>
      </c>
      <c r="U1085" s="9">
        <v>1</v>
      </c>
      <c r="V1085" s="9">
        <v>1</v>
      </c>
      <c r="W1085" s="9">
        <v>1</v>
      </c>
      <c r="X1085" s="1">
        <f t="shared" si="8"/>
        <v>8</v>
      </c>
    </row>
    <row r="1086" spans="2:24" ht="13.2" x14ac:dyDescent="0.25">
      <c r="B1086" s="109"/>
      <c r="C1086" s="9">
        <v>2021</v>
      </c>
      <c r="D1086" s="9">
        <v>1</v>
      </c>
      <c r="E1086" s="9">
        <v>1</v>
      </c>
      <c r="F1086" s="9">
        <v>0</v>
      </c>
      <c r="G1086" s="9">
        <v>0</v>
      </c>
      <c r="H1086" s="9">
        <v>1</v>
      </c>
      <c r="I1086" s="9">
        <v>1</v>
      </c>
      <c r="J1086" s="9">
        <v>1</v>
      </c>
      <c r="K1086" s="9">
        <v>0</v>
      </c>
      <c r="L1086" s="9">
        <v>1</v>
      </c>
      <c r="M1086" s="9">
        <v>1</v>
      </c>
      <c r="N1086" s="9">
        <v>1</v>
      </c>
      <c r="O1086" s="9">
        <v>1</v>
      </c>
      <c r="P1086" s="9">
        <v>0</v>
      </c>
      <c r="Q1086" s="9">
        <v>0</v>
      </c>
      <c r="R1086" s="9">
        <v>0</v>
      </c>
      <c r="S1086" s="9">
        <v>0</v>
      </c>
      <c r="T1086" s="9">
        <v>0</v>
      </c>
      <c r="U1086" s="9">
        <v>0</v>
      </c>
      <c r="V1086" s="9">
        <v>0</v>
      </c>
      <c r="W1086" s="9">
        <v>1</v>
      </c>
      <c r="X1086" s="1">
        <f t="shared" si="8"/>
        <v>10</v>
      </c>
    </row>
    <row r="1087" spans="2:24" ht="13.2" x14ac:dyDescent="0.25">
      <c r="B1087" s="110"/>
      <c r="C1087" s="9">
        <v>2022</v>
      </c>
      <c r="D1087" s="9">
        <v>1</v>
      </c>
      <c r="E1087" s="9">
        <v>0</v>
      </c>
      <c r="F1087" s="9">
        <v>0</v>
      </c>
      <c r="G1087" s="9">
        <v>0</v>
      </c>
      <c r="H1087" s="9">
        <v>0</v>
      </c>
      <c r="I1087" s="9">
        <v>0</v>
      </c>
      <c r="J1087" s="9">
        <v>1</v>
      </c>
      <c r="K1087" s="9">
        <v>1</v>
      </c>
      <c r="L1087" s="9">
        <v>0</v>
      </c>
      <c r="M1087" s="9">
        <v>1</v>
      </c>
      <c r="N1087" s="9">
        <v>0</v>
      </c>
      <c r="O1087" s="9">
        <v>0</v>
      </c>
      <c r="P1087" s="9">
        <v>0</v>
      </c>
      <c r="Q1087" s="9">
        <v>1</v>
      </c>
      <c r="R1087" s="9">
        <v>1</v>
      </c>
      <c r="S1087" s="9">
        <v>0</v>
      </c>
      <c r="T1087" s="9">
        <v>0</v>
      </c>
      <c r="U1087" s="9">
        <v>0</v>
      </c>
      <c r="V1087" s="9">
        <v>1</v>
      </c>
      <c r="W1087" s="9">
        <v>1</v>
      </c>
      <c r="X1087" s="1">
        <f t="shared" si="8"/>
        <v>8</v>
      </c>
    </row>
    <row r="1088" spans="2:24" ht="13.2" x14ac:dyDescent="0.25">
      <c r="B1088" s="108" t="s">
        <v>184</v>
      </c>
      <c r="C1088" s="9">
        <v>2018</v>
      </c>
      <c r="D1088" s="9">
        <v>0</v>
      </c>
      <c r="E1088" s="9">
        <v>1</v>
      </c>
      <c r="F1088" s="9">
        <v>0</v>
      </c>
      <c r="G1088" s="9">
        <v>1</v>
      </c>
      <c r="H1088" s="9">
        <v>1</v>
      </c>
      <c r="I1088" s="9">
        <v>1</v>
      </c>
      <c r="J1088" s="9">
        <v>1</v>
      </c>
      <c r="K1088" s="9">
        <v>0</v>
      </c>
      <c r="L1088" s="9">
        <v>0</v>
      </c>
      <c r="M1088" s="9">
        <v>1</v>
      </c>
      <c r="N1088" s="9">
        <v>0</v>
      </c>
      <c r="O1088" s="9">
        <v>1</v>
      </c>
      <c r="P1088" s="9">
        <v>1</v>
      </c>
      <c r="Q1088" s="9">
        <v>1</v>
      </c>
      <c r="R1088" s="9">
        <v>0</v>
      </c>
      <c r="S1088" s="9">
        <v>0</v>
      </c>
      <c r="T1088" s="9">
        <v>0</v>
      </c>
      <c r="U1088" s="9">
        <v>0</v>
      </c>
      <c r="V1088" s="9">
        <v>0</v>
      </c>
      <c r="W1088" s="9">
        <v>0</v>
      </c>
      <c r="X1088" s="1">
        <f t="shared" si="8"/>
        <v>9</v>
      </c>
    </row>
    <row r="1089" spans="2:24" ht="13.2" x14ac:dyDescent="0.25">
      <c r="B1089" s="109"/>
      <c r="C1089" s="9">
        <v>2019</v>
      </c>
      <c r="D1089" s="9">
        <v>1</v>
      </c>
      <c r="E1089" s="9">
        <v>1</v>
      </c>
      <c r="F1089" s="9">
        <v>1</v>
      </c>
      <c r="G1089" s="9">
        <v>1</v>
      </c>
      <c r="H1089" s="9">
        <v>0</v>
      </c>
      <c r="I1089" s="9">
        <v>1</v>
      </c>
      <c r="J1089" s="9">
        <v>0</v>
      </c>
      <c r="K1089" s="9">
        <v>0</v>
      </c>
      <c r="L1089" s="9">
        <v>1</v>
      </c>
      <c r="M1089" s="9">
        <v>1</v>
      </c>
      <c r="N1089" s="9">
        <v>1</v>
      </c>
      <c r="O1089" s="9">
        <v>0</v>
      </c>
      <c r="P1089" s="9">
        <v>1</v>
      </c>
      <c r="Q1089" s="9">
        <v>0</v>
      </c>
      <c r="R1089" s="9">
        <v>0</v>
      </c>
      <c r="S1089" s="9">
        <v>1</v>
      </c>
      <c r="T1089" s="9">
        <v>1</v>
      </c>
      <c r="U1089" s="9">
        <v>1</v>
      </c>
      <c r="V1089" s="9">
        <v>0</v>
      </c>
      <c r="W1089" s="9">
        <v>0</v>
      </c>
      <c r="X1089" s="1">
        <f t="shared" si="8"/>
        <v>12</v>
      </c>
    </row>
    <row r="1090" spans="2:24" ht="13.2" x14ac:dyDescent="0.25">
      <c r="B1090" s="109"/>
      <c r="C1090" s="9">
        <v>2020</v>
      </c>
      <c r="D1090" s="9">
        <v>0</v>
      </c>
      <c r="E1090" s="9">
        <v>1</v>
      </c>
      <c r="F1090" s="9">
        <v>0</v>
      </c>
      <c r="G1090" s="9">
        <v>1</v>
      </c>
      <c r="H1090" s="9">
        <v>1</v>
      </c>
      <c r="I1090" s="9">
        <v>1</v>
      </c>
      <c r="J1090" s="9">
        <v>0</v>
      </c>
      <c r="K1090" s="9">
        <v>0</v>
      </c>
      <c r="L1090" s="9">
        <v>1</v>
      </c>
      <c r="M1090" s="9">
        <v>1</v>
      </c>
      <c r="N1090" s="9">
        <v>0</v>
      </c>
      <c r="O1090" s="9">
        <v>0</v>
      </c>
      <c r="P1090" s="9">
        <v>0</v>
      </c>
      <c r="Q1090" s="9">
        <v>0</v>
      </c>
      <c r="R1090" s="9">
        <v>1</v>
      </c>
      <c r="S1090" s="9">
        <v>0</v>
      </c>
      <c r="T1090" s="9">
        <v>0</v>
      </c>
      <c r="U1090" s="9">
        <v>0</v>
      </c>
      <c r="V1090" s="9">
        <v>1</v>
      </c>
      <c r="W1090" s="9">
        <v>0</v>
      </c>
      <c r="X1090" s="1">
        <f t="shared" si="8"/>
        <v>8</v>
      </c>
    </row>
    <row r="1091" spans="2:24" ht="13.2" x14ac:dyDescent="0.25">
      <c r="B1091" s="109"/>
      <c r="C1091" s="9">
        <v>2021</v>
      </c>
      <c r="D1091" s="9">
        <v>0</v>
      </c>
      <c r="E1091" s="9">
        <v>0</v>
      </c>
      <c r="F1091" s="9">
        <v>1</v>
      </c>
      <c r="G1091" s="9">
        <v>0</v>
      </c>
      <c r="H1091" s="9">
        <v>1</v>
      </c>
      <c r="I1091" s="9">
        <v>0</v>
      </c>
      <c r="J1091" s="9">
        <v>0</v>
      </c>
      <c r="K1091" s="9">
        <v>1</v>
      </c>
      <c r="L1091" s="9">
        <v>1</v>
      </c>
      <c r="M1091" s="9">
        <v>0</v>
      </c>
      <c r="N1091" s="9">
        <v>1</v>
      </c>
      <c r="O1091" s="9">
        <v>1</v>
      </c>
      <c r="P1091" s="9">
        <v>0</v>
      </c>
      <c r="Q1091" s="9">
        <v>0</v>
      </c>
      <c r="R1091" s="9">
        <v>0</v>
      </c>
      <c r="S1091" s="9">
        <v>0</v>
      </c>
      <c r="T1091" s="9">
        <v>1</v>
      </c>
      <c r="U1091" s="9">
        <v>1</v>
      </c>
      <c r="V1091" s="9">
        <v>0</v>
      </c>
      <c r="W1091" s="9">
        <v>0</v>
      </c>
      <c r="X1091" s="1">
        <f t="shared" si="8"/>
        <v>8</v>
      </c>
    </row>
    <row r="1092" spans="2:24" ht="13.2" x14ac:dyDescent="0.25">
      <c r="B1092" s="110"/>
      <c r="C1092" s="9">
        <v>2022</v>
      </c>
      <c r="D1092" s="9">
        <v>1</v>
      </c>
      <c r="E1092" s="9">
        <v>1</v>
      </c>
      <c r="F1092" s="9">
        <v>0</v>
      </c>
      <c r="G1092" s="9">
        <v>1</v>
      </c>
      <c r="H1092" s="9">
        <v>0</v>
      </c>
      <c r="I1092" s="9">
        <v>1</v>
      </c>
      <c r="J1092" s="9">
        <v>1</v>
      </c>
      <c r="K1092" s="9">
        <v>0</v>
      </c>
      <c r="L1092" s="9">
        <v>1</v>
      </c>
      <c r="M1092" s="9">
        <v>1</v>
      </c>
      <c r="N1092" s="9">
        <v>0</v>
      </c>
      <c r="O1092" s="9">
        <v>1</v>
      </c>
      <c r="P1092" s="9">
        <v>0</v>
      </c>
      <c r="Q1092" s="9">
        <v>0</v>
      </c>
      <c r="R1092" s="9">
        <v>1</v>
      </c>
      <c r="S1092" s="9">
        <v>0</v>
      </c>
      <c r="T1092" s="9">
        <v>1</v>
      </c>
      <c r="U1092" s="9">
        <v>0</v>
      </c>
      <c r="V1092" s="9">
        <v>0</v>
      </c>
      <c r="W1092" s="9">
        <v>0</v>
      </c>
      <c r="X1092" s="1">
        <f t="shared" si="8"/>
        <v>10</v>
      </c>
    </row>
    <row r="1093" spans="2:24" ht="13.2" x14ac:dyDescent="0.25">
      <c r="B1093" s="108" t="s">
        <v>185</v>
      </c>
      <c r="C1093" s="9">
        <v>2018</v>
      </c>
      <c r="D1093" s="9">
        <v>0</v>
      </c>
      <c r="E1093" s="9">
        <v>0</v>
      </c>
      <c r="F1093" s="9">
        <v>0</v>
      </c>
      <c r="G1093" s="9">
        <v>0</v>
      </c>
      <c r="H1093" s="9">
        <v>0</v>
      </c>
      <c r="I1093" s="9">
        <v>0</v>
      </c>
      <c r="J1093" s="9">
        <v>0</v>
      </c>
      <c r="K1093" s="9">
        <v>0</v>
      </c>
      <c r="L1093" s="9">
        <v>1</v>
      </c>
      <c r="M1093" s="9">
        <v>0</v>
      </c>
      <c r="N1093" s="9">
        <v>1</v>
      </c>
      <c r="O1093" s="9">
        <v>1</v>
      </c>
      <c r="P1093" s="9">
        <v>1</v>
      </c>
      <c r="Q1093" s="9">
        <v>1</v>
      </c>
      <c r="R1093" s="9">
        <v>0</v>
      </c>
      <c r="S1093" s="9">
        <v>0</v>
      </c>
      <c r="T1093" s="9">
        <v>1</v>
      </c>
      <c r="U1093" s="9">
        <v>0</v>
      </c>
      <c r="V1093" s="9">
        <v>1</v>
      </c>
      <c r="W1093" s="9">
        <v>0</v>
      </c>
      <c r="X1093" s="1">
        <f t="shared" si="8"/>
        <v>7</v>
      </c>
    </row>
    <row r="1094" spans="2:24" ht="13.2" x14ac:dyDescent="0.25">
      <c r="B1094" s="109"/>
      <c r="C1094" s="9">
        <v>2019</v>
      </c>
      <c r="D1094" s="9">
        <v>1</v>
      </c>
      <c r="E1094" s="9">
        <v>0</v>
      </c>
      <c r="F1094" s="9">
        <v>1</v>
      </c>
      <c r="G1094" s="9">
        <v>0</v>
      </c>
      <c r="H1094" s="9">
        <v>1</v>
      </c>
      <c r="I1094" s="9">
        <v>1</v>
      </c>
      <c r="J1094" s="9">
        <v>1</v>
      </c>
      <c r="K1094" s="9">
        <v>0</v>
      </c>
      <c r="L1094" s="9">
        <v>0</v>
      </c>
      <c r="M1094" s="9">
        <v>0</v>
      </c>
      <c r="N1094" s="9">
        <v>0</v>
      </c>
      <c r="O1094" s="9">
        <v>0</v>
      </c>
      <c r="P1094" s="9">
        <v>0</v>
      </c>
      <c r="Q1094" s="9">
        <v>1</v>
      </c>
      <c r="R1094" s="9">
        <v>1</v>
      </c>
      <c r="S1094" s="9">
        <v>1</v>
      </c>
      <c r="T1094" s="9">
        <v>1</v>
      </c>
      <c r="U1094" s="9">
        <v>1</v>
      </c>
      <c r="V1094" s="9">
        <v>0</v>
      </c>
      <c r="W1094" s="9">
        <v>1</v>
      </c>
      <c r="X1094" s="1">
        <f t="shared" si="8"/>
        <v>11</v>
      </c>
    </row>
    <row r="1095" spans="2:24" ht="13.2" x14ac:dyDescent="0.25">
      <c r="B1095" s="109"/>
      <c r="C1095" s="9">
        <v>2020</v>
      </c>
      <c r="D1095" s="9">
        <v>0</v>
      </c>
      <c r="E1095" s="9">
        <v>1</v>
      </c>
      <c r="F1095" s="9">
        <v>0</v>
      </c>
      <c r="G1095" s="9">
        <v>1</v>
      </c>
      <c r="H1095" s="9">
        <v>1</v>
      </c>
      <c r="I1095" s="9">
        <v>0</v>
      </c>
      <c r="J1095" s="9">
        <v>0</v>
      </c>
      <c r="K1095" s="9">
        <v>1</v>
      </c>
      <c r="L1095" s="9">
        <v>1</v>
      </c>
      <c r="M1095" s="9">
        <v>1</v>
      </c>
      <c r="N1095" s="9">
        <v>0</v>
      </c>
      <c r="O1095" s="9">
        <v>1</v>
      </c>
      <c r="P1095" s="9">
        <v>0</v>
      </c>
      <c r="Q1095" s="9">
        <v>1</v>
      </c>
      <c r="R1095" s="9">
        <v>1</v>
      </c>
      <c r="S1095" s="9">
        <v>1</v>
      </c>
      <c r="T1095" s="9">
        <v>1</v>
      </c>
      <c r="U1095" s="9">
        <v>1</v>
      </c>
      <c r="V1095" s="9">
        <v>0</v>
      </c>
      <c r="W1095" s="9">
        <v>0</v>
      </c>
      <c r="X1095" s="1">
        <f t="shared" si="8"/>
        <v>12</v>
      </c>
    </row>
    <row r="1096" spans="2:24" ht="13.2" x14ac:dyDescent="0.25">
      <c r="B1096" s="109"/>
      <c r="C1096" s="9">
        <v>2021</v>
      </c>
      <c r="D1096" s="9">
        <v>0</v>
      </c>
      <c r="E1096" s="9">
        <v>0</v>
      </c>
      <c r="F1096" s="9">
        <v>1</v>
      </c>
      <c r="G1096" s="9">
        <v>1</v>
      </c>
      <c r="H1096" s="9">
        <v>1</v>
      </c>
      <c r="I1096" s="9">
        <v>0</v>
      </c>
      <c r="J1096" s="9">
        <v>1</v>
      </c>
      <c r="K1096" s="9">
        <v>0</v>
      </c>
      <c r="L1096" s="9">
        <v>0</v>
      </c>
      <c r="M1096" s="9">
        <v>1</v>
      </c>
      <c r="N1096" s="9">
        <v>0</v>
      </c>
      <c r="O1096" s="9">
        <v>0</v>
      </c>
      <c r="P1096" s="9">
        <v>1</v>
      </c>
      <c r="Q1096" s="9">
        <v>0</v>
      </c>
      <c r="R1096" s="9">
        <v>1</v>
      </c>
      <c r="S1096" s="9">
        <v>1</v>
      </c>
      <c r="T1096" s="9">
        <v>1</v>
      </c>
      <c r="U1096" s="9">
        <v>1</v>
      </c>
      <c r="V1096" s="9">
        <v>0</v>
      </c>
      <c r="W1096" s="9">
        <v>0</v>
      </c>
      <c r="X1096" s="1">
        <f t="shared" si="8"/>
        <v>10</v>
      </c>
    </row>
    <row r="1097" spans="2:24" ht="13.2" x14ac:dyDescent="0.25">
      <c r="B1097" s="110"/>
      <c r="C1097" s="9">
        <v>2022</v>
      </c>
      <c r="D1097" s="9">
        <v>1</v>
      </c>
      <c r="E1097" s="9">
        <v>0</v>
      </c>
      <c r="F1097" s="9">
        <v>1</v>
      </c>
      <c r="G1097" s="9">
        <v>0</v>
      </c>
      <c r="H1097" s="9">
        <v>1</v>
      </c>
      <c r="I1097" s="9">
        <v>0</v>
      </c>
      <c r="J1097" s="9">
        <v>1</v>
      </c>
      <c r="K1097" s="9">
        <v>1</v>
      </c>
      <c r="L1097" s="9">
        <v>1</v>
      </c>
      <c r="M1097" s="9">
        <v>0</v>
      </c>
      <c r="N1097" s="9">
        <v>1</v>
      </c>
      <c r="O1097" s="9">
        <v>1</v>
      </c>
      <c r="P1097" s="9">
        <v>0</v>
      </c>
      <c r="Q1097" s="9">
        <v>1</v>
      </c>
      <c r="R1097" s="9">
        <v>1</v>
      </c>
      <c r="S1097" s="9">
        <v>0</v>
      </c>
      <c r="T1097" s="9">
        <v>1</v>
      </c>
      <c r="U1097" s="9">
        <v>0</v>
      </c>
      <c r="V1097" s="9">
        <v>0</v>
      </c>
      <c r="W1097" s="9">
        <v>0</v>
      </c>
      <c r="X1097" s="1">
        <f t="shared" si="8"/>
        <v>11</v>
      </c>
    </row>
    <row r="1098" spans="2:24" ht="13.2" x14ac:dyDescent="0.25">
      <c r="B1098" s="108" t="s">
        <v>186</v>
      </c>
      <c r="C1098" s="9">
        <v>2018</v>
      </c>
      <c r="D1098" s="9">
        <v>0</v>
      </c>
      <c r="E1098" s="9">
        <v>0</v>
      </c>
      <c r="F1098" s="9">
        <v>0</v>
      </c>
      <c r="G1098" s="9">
        <v>0</v>
      </c>
      <c r="H1098" s="9">
        <v>1</v>
      </c>
      <c r="I1098" s="9">
        <v>0</v>
      </c>
      <c r="J1098" s="9">
        <v>0</v>
      </c>
      <c r="K1098" s="9">
        <v>1</v>
      </c>
      <c r="L1098" s="9">
        <v>0</v>
      </c>
      <c r="M1098" s="9">
        <v>1</v>
      </c>
      <c r="N1098" s="9">
        <v>0</v>
      </c>
      <c r="O1098" s="9">
        <v>0</v>
      </c>
      <c r="P1098" s="9">
        <v>1</v>
      </c>
      <c r="Q1098" s="9">
        <v>0</v>
      </c>
      <c r="R1098" s="9">
        <v>1</v>
      </c>
      <c r="S1098" s="9">
        <v>1</v>
      </c>
      <c r="T1098" s="9">
        <v>0</v>
      </c>
      <c r="U1098" s="9">
        <v>1</v>
      </c>
      <c r="V1098" s="9">
        <v>1</v>
      </c>
      <c r="W1098" s="9">
        <v>0</v>
      </c>
      <c r="X1098" s="1">
        <f t="shared" si="8"/>
        <v>8</v>
      </c>
    </row>
    <row r="1099" spans="2:24" ht="13.2" x14ac:dyDescent="0.25">
      <c r="B1099" s="109"/>
      <c r="C1099" s="9">
        <v>2019</v>
      </c>
      <c r="D1099" s="9">
        <v>0</v>
      </c>
      <c r="E1099" s="9">
        <v>0</v>
      </c>
      <c r="F1099" s="9">
        <v>1</v>
      </c>
      <c r="G1099" s="9">
        <v>1</v>
      </c>
      <c r="H1099" s="9">
        <v>1</v>
      </c>
      <c r="I1099" s="9">
        <v>1</v>
      </c>
      <c r="J1099" s="9">
        <v>0</v>
      </c>
      <c r="K1099" s="9">
        <v>0</v>
      </c>
      <c r="L1099" s="9">
        <v>0</v>
      </c>
      <c r="M1099" s="9">
        <v>0</v>
      </c>
      <c r="N1099" s="9">
        <v>1</v>
      </c>
      <c r="O1099" s="9">
        <v>0</v>
      </c>
      <c r="P1099" s="9">
        <v>1</v>
      </c>
      <c r="Q1099" s="9">
        <v>1</v>
      </c>
      <c r="R1099" s="9">
        <v>1</v>
      </c>
      <c r="S1099" s="9">
        <v>1</v>
      </c>
      <c r="T1099" s="9">
        <v>1</v>
      </c>
      <c r="U1099" s="9">
        <v>1</v>
      </c>
      <c r="V1099" s="9">
        <v>0</v>
      </c>
      <c r="W1099" s="9">
        <v>0</v>
      </c>
      <c r="X1099" s="1">
        <f t="shared" si="8"/>
        <v>11</v>
      </c>
    </row>
    <row r="1100" spans="2:24" ht="13.2" x14ac:dyDescent="0.25">
      <c r="B1100" s="109"/>
      <c r="C1100" s="9">
        <v>2020</v>
      </c>
      <c r="D1100" s="9">
        <v>1</v>
      </c>
      <c r="E1100" s="9">
        <v>0</v>
      </c>
      <c r="F1100" s="9">
        <v>0</v>
      </c>
      <c r="G1100" s="9">
        <v>0</v>
      </c>
      <c r="H1100" s="9">
        <v>1</v>
      </c>
      <c r="I1100" s="9">
        <v>0</v>
      </c>
      <c r="J1100" s="9">
        <v>1</v>
      </c>
      <c r="K1100" s="9">
        <v>1</v>
      </c>
      <c r="L1100" s="9">
        <v>1</v>
      </c>
      <c r="M1100" s="9">
        <v>0</v>
      </c>
      <c r="N1100" s="9">
        <v>1</v>
      </c>
      <c r="O1100" s="9">
        <v>0</v>
      </c>
      <c r="P1100" s="9">
        <v>1</v>
      </c>
      <c r="Q1100" s="9">
        <v>1</v>
      </c>
      <c r="R1100" s="9">
        <v>1</v>
      </c>
      <c r="S1100" s="9">
        <v>1</v>
      </c>
      <c r="T1100" s="9">
        <v>0</v>
      </c>
      <c r="U1100" s="9">
        <v>0</v>
      </c>
      <c r="V1100" s="9">
        <v>0</v>
      </c>
      <c r="W1100" s="9">
        <v>0</v>
      </c>
      <c r="X1100" s="1">
        <f t="shared" si="8"/>
        <v>10</v>
      </c>
    </row>
    <row r="1101" spans="2:24" ht="13.2" x14ac:dyDescent="0.25">
      <c r="B1101" s="109"/>
      <c r="C1101" s="9">
        <v>2021</v>
      </c>
      <c r="D1101" s="9">
        <v>1</v>
      </c>
      <c r="E1101" s="9">
        <v>1</v>
      </c>
      <c r="F1101" s="9">
        <v>0</v>
      </c>
      <c r="G1101" s="9">
        <v>0</v>
      </c>
      <c r="H1101" s="9">
        <v>1</v>
      </c>
      <c r="I1101" s="9">
        <v>1</v>
      </c>
      <c r="J1101" s="9">
        <v>0</v>
      </c>
      <c r="K1101" s="9">
        <v>0</v>
      </c>
      <c r="L1101" s="9">
        <v>1</v>
      </c>
      <c r="M1101" s="9">
        <v>1</v>
      </c>
      <c r="N1101" s="9">
        <v>1</v>
      </c>
      <c r="O1101" s="9">
        <v>0</v>
      </c>
      <c r="P1101" s="9">
        <v>1</v>
      </c>
      <c r="Q1101" s="9">
        <v>0</v>
      </c>
      <c r="R1101" s="9">
        <v>0</v>
      </c>
      <c r="S1101" s="9">
        <v>0</v>
      </c>
      <c r="T1101" s="9">
        <v>0</v>
      </c>
      <c r="U1101" s="9">
        <v>0</v>
      </c>
      <c r="V1101" s="9">
        <v>1</v>
      </c>
      <c r="W1101" s="9">
        <v>0</v>
      </c>
      <c r="X1101" s="1">
        <f t="shared" si="8"/>
        <v>9</v>
      </c>
    </row>
    <row r="1102" spans="2:24" ht="13.2" x14ac:dyDescent="0.25">
      <c r="B1102" s="110"/>
      <c r="C1102" s="9">
        <v>2022</v>
      </c>
      <c r="D1102" s="9">
        <v>0</v>
      </c>
      <c r="E1102" s="9">
        <v>0</v>
      </c>
      <c r="F1102" s="9">
        <v>0</v>
      </c>
      <c r="G1102" s="9">
        <v>0</v>
      </c>
      <c r="H1102" s="9">
        <v>1</v>
      </c>
      <c r="I1102" s="9">
        <v>0</v>
      </c>
      <c r="J1102" s="9">
        <v>0</v>
      </c>
      <c r="K1102" s="9">
        <v>1</v>
      </c>
      <c r="L1102" s="9">
        <v>1</v>
      </c>
      <c r="M1102" s="9">
        <v>0</v>
      </c>
      <c r="N1102" s="9">
        <v>0</v>
      </c>
      <c r="O1102" s="9">
        <v>1</v>
      </c>
      <c r="P1102" s="9">
        <v>0</v>
      </c>
      <c r="Q1102" s="9">
        <v>0</v>
      </c>
      <c r="R1102" s="9">
        <v>1</v>
      </c>
      <c r="S1102" s="9">
        <v>1</v>
      </c>
      <c r="T1102" s="9">
        <v>1</v>
      </c>
      <c r="U1102" s="9">
        <v>0</v>
      </c>
      <c r="V1102" s="9">
        <v>1</v>
      </c>
      <c r="W1102" s="9">
        <v>0</v>
      </c>
      <c r="X1102" s="1">
        <f t="shared" si="8"/>
        <v>8</v>
      </c>
    </row>
    <row r="1103" spans="2:24" ht="13.2" x14ac:dyDescent="0.25">
      <c r="B1103" s="2"/>
      <c r="C1103" s="2"/>
      <c r="D1103" s="2"/>
      <c r="E1103" s="2"/>
      <c r="F1103" s="2"/>
      <c r="G1103" s="2"/>
      <c r="H1103" s="2"/>
      <c r="I1103" s="2"/>
      <c r="J1103" s="2"/>
      <c r="K1103" s="2"/>
      <c r="L1103" s="2"/>
    </row>
    <row r="1104" spans="2:24" ht="13.2" x14ac:dyDescent="0.25">
      <c r="B1104" s="2"/>
      <c r="C1104" s="2"/>
      <c r="D1104" s="2"/>
      <c r="E1104" s="2"/>
      <c r="F1104" s="2"/>
      <c r="G1104" s="2"/>
      <c r="H1104" s="2"/>
      <c r="I1104" s="2"/>
      <c r="J1104" s="2"/>
      <c r="K1104" s="2"/>
      <c r="L1104" s="2"/>
    </row>
    <row r="1105" spans="2:24" ht="13.2" x14ac:dyDescent="0.25">
      <c r="B1105" s="2"/>
      <c r="C1105" s="2"/>
      <c r="D1105" s="2"/>
      <c r="E1105" s="2"/>
      <c r="F1105" s="2"/>
      <c r="G1105" s="2"/>
      <c r="H1105" s="2"/>
      <c r="I1105" s="2"/>
      <c r="J1105" s="2"/>
      <c r="K1105" s="2"/>
      <c r="L1105" s="2"/>
    </row>
    <row r="1106" spans="2:24" ht="13.2" x14ac:dyDescent="0.25">
      <c r="B1106" s="2"/>
      <c r="C1106" s="2"/>
      <c r="D1106" s="2"/>
      <c r="E1106" s="2"/>
      <c r="F1106" s="2"/>
      <c r="G1106" s="2"/>
      <c r="H1106" s="2"/>
      <c r="I1106" s="2"/>
      <c r="J1106" s="2"/>
      <c r="K1106" s="2"/>
      <c r="L1106" s="2"/>
    </row>
    <row r="1107" spans="2:24" ht="15.6" x14ac:dyDescent="0.25">
      <c r="B1107" s="111" t="s">
        <v>6</v>
      </c>
      <c r="C1107" s="107"/>
      <c r="D1107" s="105" t="s">
        <v>190</v>
      </c>
      <c r="E1107" s="106"/>
      <c r="F1107" s="106"/>
      <c r="G1107" s="106"/>
      <c r="H1107" s="106"/>
      <c r="I1107" s="106"/>
      <c r="J1107" s="106"/>
      <c r="K1107" s="106"/>
      <c r="L1107" s="106"/>
      <c r="M1107" s="106"/>
      <c r="N1107" s="106"/>
      <c r="O1107" s="106"/>
      <c r="P1107" s="106"/>
      <c r="Q1107" s="106"/>
      <c r="R1107" s="106"/>
      <c r="S1107" s="106"/>
      <c r="T1107" s="106"/>
      <c r="U1107" s="106"/>
      <c r="V1107" s="106"/>
      <c r="W1107" s="107"/>
    </row>
    <row r="1108" spans="2:24" ht="13.2" x14ac:dyDescent="0.25">
      <c r="B1108" s="4" t="s">
        <v>6</v>
      </c>
      <c r="C1108" s="5" t="s">
        <v>7</v>
      </c>
      <c r="D1108" s="5" t="s">
        <v>97</v>
      </c>
      <c r="E1108" s="5" t="s">
        <v>101</v>
      </c>
      <c r="F1108" s="5" t="s">
        <v>104</v>
      </c>
      <c r="G1108" s="5" t="s">
        <v>107</v>
      </c>
      <c r="H1108" s="5" t="s">
        <v>110</v>
      </c>
      <c r="I1108" s="5" t="s">
        <v>113</v>
      </c>
      <c r="J1108" s="5" t="s">
        <v>117</v>
      </c>
      <c r="K1108" s="5" t="s">
        <v>120</v>
      </c>
      <c r="L1108" s="5" t="s">
        <v>123</v>
      </c>
      <c r="M1108" s="5" t="s">
        <v>126</v>
      </c>
      <c r="N1108" s="5" t="s">
        <v>128</v>
      </c>
      <c r="O1108" s="5" t="s">
        <v>131</v>
      </c>
      <c r="P1108" s="5" t="s">
        <v>133</v>
      </c>
      <c r="Q1108" s="5" t="s">
        <v>135</v>
      </c>
      <c r="R1108" s="5" t="s">
        <v>137</v>
      </c>
      <c r="S1108" s="5" t="s">
        <v>139</v>
      </c>
      <c r="T1108" s="5" t="s">
        <v>142</v>
      </c>
      <c r="U1108" s="5" t="s">
        <v>144</v>
      </c>
      <c r="V1108" s="5" t="s">
        <v>146</v>
      </c>
      <c r="W1108" s="5" t="s">
        <v>148</v>
      </c>
    </row>
    <row r="1109" spans="2:24" ht="13.2" x14ac:dyDescent="0.25">
      <c r="B1109" s="108" t="s">
        <v>18</v>
      </c>
      <c r="C1109" s="9">
        <v>2018</v>
      </c>
      <c r="D1109" s="9">
        <v>1</v>
      </c>
      <c r="E1109" s="9">
        <v>1</v>
      </c>
      <c r="F1109" s="9">
        <v>0</v>
      </c>
      <c r="G1109" s="9">
        <v>0</v>
      </c>
      <c r="H1109" s="9">
        <v>1</v>
      </c>
      <c r="I1109" s="9">
        <v>1</v>
      </c>
      <c r="J1109" s="9">
        <v>0</v>
      </c>
      <c r="K1109" s="9">
        <v>0</v>
      </c>
      <c r="L1109" s="9">
        <v>0</v>
      </c>
      <c r="M1109" s="9">
        <v>1</v>
      </c>
      <c r="N1109" s="9">
        <v>1</v>
      </c>
      <c r="O1109" s="9">
        <v>1</v>
      </c>
      <c r="P1109" s="9">
        <v>0</v>
      </c>
      <c r="Q1109" s="9">
        <v>1</v>
      </c>
      <c r="R1109" s="9">
        <v>1</v>
      </c>
      <c r="S1109" s="9">
        <v>0</v>
      </c>
      <c r="T1109" s="9">
        <v>0</v>
      </c>
      <c r="U1109" s="9">
        <v>0</v>
      </c>
      <c r="V1109" s="9">
        <v>0</v>
      </c>
      <c r="W1109" s="9">
        <v>1</v>
      </c>
      <c r="X1109" s="1">
        <f t="shared" ref="X1109:X1238" si="9">SUM(D1109:W1109)</f>
        <v>10</v>
      </c>
    </row>
    <row r="1110" spans="2:24" ht="13.2" x14ac:dyDescent="0.25">
      <c r="B1110" s="109"/>
      <c r="C1110" s="9">
        <v>2019</v>
      </c>
      <c r="D1110" s="9">
        <v>1</v>
      </c>
      <c r="E1110" s="9">
        <v>0</v>
      </c>
      <c r="F1110" s="9">
        <v>1</v>
      </c>
      <c r="G1110" s="9">
        <v>1</v>
      </c>
      <c r="H1110" s="9">
        <v>0</v>
      </c>
      <c r="I1110" s="9">
        <v>0</v>
      </c>
      <c r="J1110" s="9">
        <v>1</v>
      </c>
      <c r="K1110" s="9">
        <v>1</v>
      </c>
      <c r="L1110" s="9">
        <v>0</v>
      </c>
      <c r="M1110" s="9">
        <v>0</v>
      </c>
      <c r="N1110" s="9">
        <v>1</v>
      </c>
      <c r="O1110" s="9">
        <v>1</v>
      </c>
      <c r="P1110" s="9">
        <v>1</v>
      </c>
      <c r="Q1110" s="9">
        <v>1</v>
      </c>
      <c r="R1110" s="9">
        <v>1</v>
      </c>
      <c r="S1110" s="9">
        <v>1</v>
      </c>
      <c r="T1110" s="9">
        <v>0</v>
      </c>
      <c r="U1110" s="9">
        <v>0</v>
      </c>
      <c r="V1110" s="9">
        <v>1</v>
      </c>
      <c r="W1110" s="9">
        <v>0</v>
      </c>
      <c r="X1110" s="1">
        <f t="shared" si="9"/>
        <v>12</v>
      </c>
    </row>
    <row r="1111" spans="2:24" ht="13.2" x14ac:dyDescent="0.25">
      <c r="B1111" s="109"/>
      <c r="C1111" s="9">
        <v>2020</v>
      </c>
      <c r="D1111" s="9">
        <v>0</v>
      </c>
      <c r="E1111" s="9">
        <v>1</v>
      </c>
      <c r="F1111" s="9">
        <v>0</v>
      </c>
      <c r="G1111" s="9">
        <v>1</v>
      </c>
      <c r="H1111" s="9">
        <v>1</v>
      </c>
      <c r="I1111" s="9">
        <v>0</v>
      </c>
      <c r="J1111" s="9">
        <v>1</v>
      </c>
      <c r="K1111" s="9">
        <v>1</v>
      </c>
      <c r="L1111" s="9">
        <v>1</v>
      </c>
      <c r="M1111" s="9">
        <v>1</v>
      </c>
      <c r="N1111" s="9">
        <v>1</v>
      </c>
      <c r="O1111" s="9">
        <v>1</v>
      </c>
      <c r="P1111" s="9">
        <v>0</v>
      </c>
      <c r="Q1111" s="9">
        <v>1</v>
      </c>
      <c r="R1111" s="9">
        <v>0</v>
      </c>
      <c r="S1111" s="9">
        <v>0</v>
      </c>
      <c r="T1111" s="9">
        <v>1</v>
      </c>
      <c r="U1111" s="9">
        <v>0</v>
      </c>
      <c r="V1111" s="9">
        <v>0</v>
      </c>
      <c r="W1111" s="9">
        <v>0</v>
      </c>
      <c r="X1111" s="1">
        <f t="shared" si="9"/>
        <v>11</v>
      </c>
    </row>
    <row r="1112" spans="2:24" ht="13.2" x14ac:dyDescent="0.25">
      <c r="B1112" s="109"/>
      <c r="C1112" s="9">
        <v>2021</v>
      </c>
      <c r="D1112" s="9">
        <v>1</v>
      </c>
      <c r="E1112" s="9">
        <v>1</v>
      </c>
      <c r="F1112" s="9">
        <v>0</v>
      </c>
      <c r="G1112" s="9">
        <v>0</v>
      </c>
      <c r="H1112" s="9">
        <v>0</v>
      </c>
      <c r="I1112" s="9">
        <v>0</v>
      </c>
      <c r="J1112" s="9">
        <v>1</v>
      </c>
      <c r="K1112" s="9">
        <v>1</v>
      </c>
      <c r="L1112" s="9">
        <v>0</v>
      </c>
      <c r="M1112" s="9">
        <v>1</v>
      </c>
      <c r="N1112" s="9">
        <v>1</v>
      </c>
      <c r="O1112" s="9">
        <v>1</v>
      </c>
      <c r="P1112" s="9">
        <v>1</v>
      </c>
      <c r="Q1112" s="9">
        <v>1</v>
      </c>
      <c r="R1112" s="9">
        <v>0</v>
      </c>
      <c r="S1112" s="9">
        <v>0</v>
      </c>
      <c r="T1112" s="9">
        <v>1</v>
      </c>
      <c r="U1112" s="9">
        <v>0</v>
      </c>
      <c r="V1112" s="9">
        <v>0</v>
      </c>
      <c r="W1112" s="9">
        <v>0</v>
      </c>
      <c r="X1112" s="1">
        <f t="shared" si="9"/>
        <v>10</v>
      </c>
    </row>
    <row r="1113" spans="2:24" ht="13.2" x14ac:dyDescent="0.25">
      <c r="B1113" s="110"/>
      <c r="C1113" s="9">
        <v>2022</v>
      </c>
      <c r="D1113" s="9">
        <v>1</v>
      </c>
      <c r="E1113" s="9">
        <v>0</v>
      </c>
      <c r="F1113" s="9">
        <v>1</v>
      </c>
      <c r="G1113" s="9">
        <v>1</v>
      </c>
      <c r="H1113" s="9">
        <v>1</v>
      </c>
      <c r="I1113" s="9">
        <v>0</v>
      </c>
      <c r="J1113" s="9">
        <v>0</v>
      </c>
      <c r="K1113" s="9">
        <v>1</v>
      </c>
      <c r="L1113" s="9">
        <v>1</v>
      </c>
      <c r="M1113" s="9">
        <v>1</v>
      </c>
      <c r="N1113" s="9">
        <v>1</v>
      </c>
      <c r="O1113" s="9">
        <v>1</v>
      </c>
      <c r="P1113" s="9">
        <v>1</v>
      </c>
      <c r="Q1113" s="9">
        <v>1</v>
      </c>
      <c r="R1113" s="9">
        <v>1</v>
      </c>
      <c r="S1113" s="9">
        <v>0</v>
      </c>
      <c r="T1113" s="9">
        <v>0</v>
      </c>
      <c r="U1113" s="9">
        <v>0</v>
      </c>
      <c r="V1113" s="9">
        <v>0</v>
      </c>
      <c r="W1113" s="9">
        <v>0</v>
      </c>
      <c r="X1113" s="1">
        <f t="shared" si="9"/>
        <v>12</v>
      </c>
    </row>
    <row r="1114" spans="2:24" ht="13.2" x14ac:dyDescent="0.25">
      <c r="B1114" s="108" t="s">
        <v>39</v>
      </c>
      <c r="C1114" s="9">
        <v>2018</v>
      </c>
      <c r="D1114" s="9">
        <v>1</v>
      </c>
      <c r="E1114" s="9">
        <v>1</v>
      </c>
      <c r="F1114" s="9">
        <v>1</v>
      </c>
      <c r="G1114" s="9">
        <v>0</v>
      </c>
      <c r="H1114" s="9">
        <v>1</v>
      </c>
      <c r="I1114" s="9">
        <v>0</v>
      </c>
      <c r="J1114" s="9">
        <v>1</v>
      </c>
      <c r="K1114" s="9">
        <v>0</v>
      </c>
      <c r="L1114" s="9">
        <v>1</v>
      </c>
      <c r="M1114" s="9">
        <v>0</v>
      </c>
      <c r="N1114" s="9">
        <v>1</v>
      </c>
      <c r="O1114" s="9">
        <v>0</v>
      </c>
      <c r="P1114" s="9">
        <v>0</v>
      </c>
      <c r="Q1114" s="9">
        <v>0</v>
      </c>
      <c r="R1114" s="9">
        <v>0</v>
      </c>
      <c r="S1114" s="9">
        <v>1</v>
      </c>
      <c r="T1114" s="9">
        <v>1</v>
      </c>
      <c r="U1114" s="9">
        <v>1</v>
      </c>
      <c r="V1114" s="9">
        <v>1</v>
      </c>
      <c r="W1114" s="9">
        <v>0</v>
      </c>
      <c r="X1114" s="1">
        <f t="shared" si="9"/>
        <v>11</v>
      </c>
    </row>
    <row r="1115" spans="2:24" ht="13.2" x14ac:dyDescent="0.25">
      <c r="B1115" s="109"/>
      <c r="C1115" s="9">
        <v>2019</v>
      </c>
      <c r="D1115" s="9">
        <v>0</v>
      </c>
      <c r="E1115" s="9">
        <v>0</v>
      </c>
      <c r="F1115" s="9">
        <v>1</v>
      </c>
      <c r="G1115" s="9">
        <v>1</v>
      </c>
      <c r="H1115" s="9">
        <v>0</v>
      </c>
      <c r="I1115" s="9">
        <v>0</v>
      </c>
      <c r="J1115" s="9">
        <v>0</v>
      </c>
      <c r="K1115" s="9">
        <v>0</v>
      </c>
      <c r="L1115" s="9">
        <v>1</v>
      </c>
      <c r="M1115" s="9">
        <v>0</v>
      </c>
      <c r="N1115" s="9">
        <v>0</v>
      </c>
      <c r="O1115" s="9">
        <v>1</v>
      </c>
      <c r="P1115" s="9">
        <v>1</v>
      </c>
      <c r="Q1115" s="9">
        <v>0</v>
      </c>
      <c r="R1115" s="9">
        <v>0</v>
      </c>
      <c r="S1115" s="9">
        <v>1</v>
      </c>
      <c r="T1115" s="9">
        <v>0</v>
      </c>
      <c r="U1115" s="9">
        <v>0</v>
      </c>
      <c r="V1115" s="9">
        <v>0</v>
      </c>
      <c r="W1115" s="9">
        <v>1</v>
      </c>
      <c r="X1115" s="1">
        <f t="shared" si="9"/>
        <v>7</v>
      </c>
    </row>
    <row r="1116" spans="2:24" ht="13.2" x14ac:dyDescent="0.25">
      <c r="B1116" s="109"/>
      <c r="C1116" s="9">
        <v>2020</v>
      </c>
      <c r="D1116" s="9">
        <v>1</v>
      </c>
      <c r="E1116" s="9">
        <v>1</v>
      </c>
      <c r="F1116" s="9">
        <v>1</v>
      </c>
      <c r="G1116" s="9">
        <v>0</v>
      </c>
      <c r="H1116" s="9">
        <v>0</v>
      </c>
      <c r="I1116" s="9">
        <v>1</v>
      </c>
      <c r="J1116" s="9">
        <v>0</v>
      </c>
      <c r="K1116" s="9">
        <v>0</v>
      </c>
      <c r="L1116" s="9">
        <v>0</v>
      </c>
      <c r="M1116" s="9">
        <v>1</v>
      </c>
      <c r="N1116" s="9">
        <v>1</v>
      </c>
      <c r="O1116" s="9">
        <v>0</v>
      </c>
      <c r="P1116" s="9">
        <v>1</v>
      </c>
      <c r="Q1116" s="9">
        <v>0</v>
      </c>
      <c r="R1116" s="9">
        <v>1</v>
      </c>
      <c r="S1116" s="9">
        <v>1</v>
      </c>
      <c r="T1116" s="9">
        <v>1</v>
      </c>
      <c r="U1116" s="9">
        <v>0</v>
      </c>
      <c r="V1116" s="9">
        <v>1</v>
      </c>
      <c r="W1116" s="9">
        <v>1</v>
      </c>
      <c r="X1116" s="1">
        <f t="shared" si="9"/>
        <v>12</v>
      </c>
    </row>
    <row r="1117" spans="2:24" ht="13.2" x14ac:dyDescent="0.25">
      <c r="B1117" s="109"/>
      <c r="C1117" s="9">
        <v>2021</v>
      </c>
      <c r="D1117" s="9">
        <v>1</v>
      </c>
      <c r="E1117" s="9">
        <v>1</v>
      </c>
      <c r="F1117" s="9">
        <v>0</v>
      </c>
      <c r="G1117" s="9">
        <v>1</v>
      </c>
      <c r="H1117" s="9">
        <v>1</v>
      </c>
      <c r="I1117" s="9">
        <v>1</v>
      </c>
      <c r="J1117" s="9">
        <v>1</v>
      </c>
      <c r="K1117" s="9">
        <v>1</v>
      </c>
      <c r="L1117" s="9">
        <v>0</v>
      </c>
      <c r="M1117" s="9">
        <v>1</v>
      </c>
      <c r="N1117" s="9">
        <v>1</v>
      </c>
      <c r="O1117" s="9">
        <v>1</v>
      </c>
      <c r="P1117" s="9">
        <v>1</v>
      </c>
      <c r="Q1117" s="9">
        <v>0</v>
      </c>
      <c r="R1117" s="9">
        <v>1</v>
      </c>
      <c r="S1117" s="9">
        <v>1</v>
      </c>
      <c r="T1117" s="9">
        <v>1</v>
      </c>
      <c r="U1117" s="9">
        <v>1</v>
      </c>
      <c r="V1117" s="9">
        <v>1</v>
      </c>
      <c r="W1117" s="9">
        <v>1</v>
      </c>
      <c r="X1117" s="1">
        <f t="shared" si="9"/>
        <v>17</v>
      </c>
    </row>
    <row r="1118" spans="2:24" ht="13.2" x14ac:dyDescent="0.25">
      <c r="B1118" s="110"/>
      <c r="C1118" s="9">
        <v>2022</v>
      </c>
      <c r="D1118" s="9">
        <v>0</v>
      </c>
      <c r="E1118" s="9">
        <v>0</v>
      </c>
      <c r="F1118" s="9">
        <v>1</v>
      </c>
      <c r="G1118" s="9">
        <v>1</v>
      </c>
      <c r="H1118" s="9">
        <v>1</v>
      </c>
      <c r="I1118" s="9">
        <v>0</v>
      </c>
      <c r="J1118" s="9">
        <v>0</v>
      </c>
      <c r="K1118" s="9">
        <v>1</v>
      </c>
      <c r="L1118" s="9">
        <v>1</v>
      </c>
      <c r="M1118" s="9">
        <v>1</v>
      </c>
      <c r="N1118" s="9">
        <v>0</v>
      </c>
      <c r="O1118" s="9">
        <v>0</v>
      </c>
      <c r="P1118" s="9">
        <v>1</v>
      </c>
      <c r="Q1118" s="9">
        <v>1</v>
      </c>
      <c r="R1118" s="9">
        <v>1</v>
      </c>
      <c r="S1118" s="9">
        <v>0</v>
      </c>
      <c r="T1118" s="9">
        <v>1</v>
      </c>
      <c r="U1118" s="9">
        <v>0</v>
      </c>
      <c r="V1118" s="9">
        <v>1</v>
      </c>
      <c r="W1118" s="9">
        <v>1</v>
      </c>
      <c r="X1118" s="1">
        <f t="shared" si="9"/>
        <v>12</v>
      </c>
    </row>
    <row r="1119" spans="2:24" ht="13.2" x14ac:dyDescent="0.25">
      <c r="B1119" s="108" t="s">
        <v>60</v>
      </c>
      <c r="C1119" s="9">
        <v>2018</v>
      </c>
      <c r="D1119" s="9">
        <v>1</v>
      </c>
      <c r="E1119" s="9">
        <v>0</v>
      </c>
      <c r="F1119" s="9">
        <v>0</v>
      </c>
      <c r="G1119" s="9">
        <v>1</v>
      </c>
      <c r="H1119" s="9">
        <v>1</v>
      </c>
      <c r="I1119" s="9">
        <v>1</v>
      </c>
      <c r="J1119" s="9">
        <v>1</v>
      </c>
      <c r="K1119" s="9">
        <v>1</v>
      </c>
      <c r="L1119" s="9">
        <v>1</v>
      </c>
      <c r="M1119" s="9">
        <v>1</v>
      </c>
      <c r="N1119" s="9">
        <v>1</v>
      </c>
      <c r="O1119" s="9">
        <v>0</v>
      </c>
      <c r="P1119" s="9">
        <v>0</v>
      </c>
      <c r="Q1119" s="9">
        <v>0</v>
      </c>
      <c r="R1119" s="9">
        <v>0</v>
      </c>
      <c r="S1119" s="9">
        <v>1</v>
      </c>
      <c r="T1119" s="9">
        <v>1</v>
      </c>
      <c r="U1119" s="9">
        <v>0</v>
      </c>
      <c r="V1119" s="9">
        <v>0</v>
      </c>
      <c r="W1119" s="9">
        <v>1</v>
      </c>
      <c r="X1119" s="1">
        <f t="shared" si="9"/>
        <v>12</v>
      </c>
    </row>
    <row r="1120" spans="2:24" ht="13.2" x14ac:dyDescent="0.25">
      <c r="B1120" s="109"/>
      <c r="C1120" s="9">
        <v>2019</v>
      </c>
      <c r="D1120" s="9">
        <v>1</v>
      </c>
      <c r="E1120" s="9">
        <v>0</v>
      </c>
      <c r="F1120" s="9">
        <v>1</v>
      </c>
      <c r="G1120" s="9">
        <v>0</v>
      </c>
      <c r="H1120" s="9">
        <v>1</v>
      </c>
      <c r="I1120" s="9">
        <v>1</v>
      </c>
      <c r="J1120" s="9">
        <v>1</v>
      </c>
      <c r="K1120" s="9">
        <v>0</v>
      </c>
      <c r="L1120" s="9">
        <v>0</v>
      </c>
      <c r="M1120" s="9">
        <v>0</v>
      </c>
      <c r="N1120" s="9">
        <v>0</v>
      </c>
      <c r="O1120" s="9">
        <v>0</v>
      </c>
      <c r="P1120" s="9">
        <v>0</v>
      </c>
      <c r="Q1120" s="9">
        <v>0</v>
      </c>
      <c r="R1120" s="9">
        <v>0</v>
      </c>
      <c r="S1120" s="9">
        <v>1</v>
      </c>
      <c r="T1120" s="9">
        <v>0</v>
      </c>
      <c r="U1120" s="9">
        <v>0</v>
      </c>
      <c r="V1120" s="9">
        <v>0</v>
      </c>
      <c r="W1120" s="9">
        <v>1</v>
      </c>
      <c r="X1120" s="1">
        <f t="shared" si="9"/>
        <v>7</v>
      </c>
    </row>
    <row r="1121" spans="2:24" ht="13.2" x14ac:dyDescent="0.25">
      <c r="B1121" s="109"/>
      <c r="C1121" s="9">
        <v>2020</v>
      </c>
      <c r="D1121" s="9">
        <v>0</v>
      </c>
      <c r="E1121" s="9">
        <v>1</v>
      </c>
      <c r="F1121" s="9">
        <v>1</v>
      </c>
      <c r="G1121" s="9">
        <v>1</v>
      </c>
      <c r="H1121" s="9">
        <v>0</v>
      </c>
      <c r="I1121" s="9">
        <v>0</v>
      </c>
      <c r="J1121" s="9">
        <v>0</v>
      </c>
      <c r="K1121" s="9">
        <v>0</v>
      </c>
      <c r="L1121" s="9">
        <v>0</v>
      </c>
      <c r="M1121" s="9">
        <v>0</v>
      </c>
      <c r="N1121" s="9">
        <v>1</v>
      </c>
      <c r="O1121" s="9">
        <v>0</v>
      </c>
      <c r="P1121" s="9">
        <v>0</v>
      </c>
      <c r="Q1121" s="9">
        <v>1</v>
      </c>
      <c r="R1121" s="9">
        <v>1</v>
      </c>
      <c r="S1121" s="9">
        <v>1</v>
      </c>
      <c r="T1121" s="9">
        <v>0</v>
      </c>
      <c r="U1121" s="9">
        <v>1</v>
      </c>
      <c r="V1121" s="9">
        <v>1</v>
      </c>
      <c r="W1121" s="9">
        <v>0</v>
      </c>
      <c r="X1121" s="1">
        <f t="shared" si="9"/>
        <v>9</v>
      </c>
    </row>
    <row r="1122" spans="2:24" ht="13.2" x14ac:dyDescent="0.25">
      <c r="B1122" s="109"/>
      <c r="C1122" s="9">
        <v>2021</v>
      </c>
      <c r="D1122" s="9">
        <v>1</v>
      </c>
      <c r="E1122" s="9">
        <v>1</v>
      </c>
      <c r="F1122" s="9">
        <v>1</v>
      </c>
      <c r="G1122" s="9">
        <v>0</v>
      </c>
      <c r="H1122" s="9">
        <v>0</v>
      </c>
      <c r="I1122" s="9">
        <v>0</v>
      </c>
      <c r="J1122" s="9">
        <v>1</v>
      </c>
      <c r="K1122" s="9">
        <v>0</v>
      </c>
      <c r="L1122" s="9">
        <v>1</v>
      </c>
      <c r="M1122" s="9">
        <v>0</v>
      </c>
      <c r="N1122" s="9">
        <v>1</v>
      </c>
      <c r="O1122" s="9">
        <v>1</v>
      </c>
      <c r="P1122" s="9">
        <v>0</v>
      </c>
      <c r="Q1122" s="9">
        <v>0</v>
      </c>
      <c r="R1122" s="9">
        <v>1</v>
      </c>
      <c r="S1122" s="9">
        <v>0</v>
      </c>
      <c r="T1122" s="9">
        <v>1</v>
      </c>
      <c r="U1122" s="9">
        <v>0</v>
      </c>
      <c r="V1122" s="9">
        <v>1</v>
      </c>
      <c r="W1122" s="9">
        <v>0</v>
      </c>
      <c r="X1122" s="1">
        <f t="shared" si="9"/>
        <v>10</v>
      </c>
    </row>
    <row r="1123" spans="2:24" ht="13.2" x14ac:dyDescent="0.25">
      <c r="B1123" s="110"/>
      <c r="C1123" s="9">
        <v>2022</v>
      </c>
      <c r="D1123" s="9">
        <v>0</v>
      </c>
      <c r="E1123" s="9">
        <v>0</v>
      </c>
      <c r="F1123" s="9">
        <v>0</v>
      </c>
      <c r="G1123" s="9">
        <v>1</v>
      </c>
      <c r="H1123" s="9">
        <v>0</v>
      </c>
      <c r="I1123" s="9">
        <v>1</v>
      </c>
      <c r="J1123" s="9">
        <v>1</v>
      </c>
      <c r="K1123" s="9">
        <v>1</v>
      </c>
      <c r="L1123" s="9">
        <v>1</v>
      </c>
      <c r="M1123" s="9">
        <v>0</v>
      </c>
      <c r="N1123" s="9">
        <v>0</v>
      </c>
      <c r="O1123" s="9">
        <v>0</v>
      </c>
      <c r="P1123" s="9">
        <v>1</v>
      </c>
      <c r="Q1123" s="9">
        <v>0</v>
      </c>
      <c r="R1123" s="9">
        <v>1</v>
      </c>
      <c r="S1123" s="9">
        <v>0</v>
      </c>
      <c r="T1123" s="9">
        <v>1</v>
      </c>
      <c r="U1123" s="9">
        <v>0</v>
      </c>
      <c r="V1123" s="9">
        <v>1</v>
      </c>
      <c r="W1123" s="9">
        <v>1</v>
      </c>
      <c r="X1123" s="1">
        <f t="shared" si="9"/>
        <v>10</v>
      </c>
    </row>
    <row r="1124" spans="2:24" ht="13.2" x14ac:dyDescent="0.25">
      <c r="B1124" s="108" t="s">
        <v>81</v>
      </c>
      <c r="C1124" s="9">
        <v>2018</v>
      </c>
      <c r="D1124" s="9">
        <v>1</v>
      </c>
      <c r="E1124" s="9">
        <v>1</v>
      </c>
      <c r="F1124" s="9">
        <v>1</v>
      </c>
      <c r="G1124" s="9">
        <v>1</v>
      </c>
      <c r="H1124" s="9">
        <v>0</v>
      </c>
      <c r="I1124" s="9">
        <v>1</v>
      </c>
      <c r="J1124" s="9">
        <v>0</v>
      </c>
      <c r="K1124" s="9">
        <v>1</v>
      </c>
      <c r="L1124" s="9">
        <v>0</v>
      </c>
      <c r="M1124" s="9">
        <v>0</v>
      </c>
      <c r="N1124" s="9">
        <v>1</v>
      </c>
      <c r="O1124" s="9">
        <v>0</v>
      </c>
      <c r="P1124" s="9">
        <v>0</v>
      </c>
      <c r="Q1124" s="9">
        <v>0</v>
      </c>
      <c r="R1124" s="9">
        <v>0</v>
      </c>
      <c r="S1124" s="9">
        <v>0</v>
      </c>
      <c r="T1124" s="9">
        <v>1</v>
      </c>
      <c r="U1124" s="9">
        <v>0</v>
      </c>
      <c r="V1124" s="9">
        <v>1</v>
      </c>
      <c r="W1124" s="9">
        <v>1</v>
      </c>
      <c r="X1124" s="1">
        <f t="shared" si="9"/>
        <v>10</v>
      </c>
    </row>
    <row r="1125" spans="2:24" ht="13.2" x14ac:dyDescent="0.25">
      <c r="B1125" s="109"/>
      <c r="C1125" s="9">
        <v>2019</v>
      </c>
      <c r="D1125" s="9">
        <v>0</v>
      </c>
      <c r="E1125" s="9">
        <v>1</v>
      </c>
      <c r="F1125" s="9">
        <v>1</v>
      </c>
      <c r="G1125" s="9">
        <v>1</v>
      </c>
      <c r="H1125" s="9">
        <v>0</v>
      </c>
      <c r="I1125" s="9">
        <v>1</v>
      </c>
      <c r="J1125" s="9">
        <v>1</v>
      </c>
      <c r="K1125" s="9">
        <v>1</v>
      </c>
      <c r="L1125" s="9">
        <v>0</v>
      </c>
      <c r="M1125" s="9">
        <v>1</v>
      </c>
      <c r="N1125" s="9">
        <v>1</v>
      </c>
      <c r="O1125" s="9">
        <v>0</v>
      </c>
      <c r="P1125" s="9">
        <v>1</v>
      </c>
      <c r="Q1125" s="9">
        <v>1</v>
      </c>
      <c r="R1125" s="9">
        <v>1</v>
      </c>
      <c r="S1125" s="9">
        <v>0</v>
      </c>
      <c r="T1125" s="9">
        <v>1</v>
      </c>
      <c r="U1125" s="9">
        <v>1</v>
      </c>
      <c r="V1125" s="9">
        <v>0</v>
      </c>
      <c r="W1125" s="9">
        <v>0</v>
      </c>
      <c r="X1125" s="1">
        <f t="shared" si="9"/>
        <v>13</v>
      </c>
    </row>
    <row r="1126" spans="2:24" ht="13.2" x14ac:dyDescent="0.25">
      <c r="B1126" s="109"/>
      <c r="C1126" s="9">
        <v>2020</v>
      </c>
      <c r="D1126" s="9">
        <v>1</v>
      </c>
      <c r="E1126" s="9">
        <v>0</v>
      </c>
      <c r="F1126" s="9">
        <v>0</v>
      </c>
      <c r="G1126" s="9">
        <v>0</v>
      </c>
      <c r="H1126" s="9">
        <v>0</v>
      </c>
      <c r="I1126" s="9">
        <v>1</v>
      </c>
      <c r="J1126" s="9">
        <v>0</v>
      </c>
      <c r="K1126" s="9">
        <v>0</v>
      </c>
      <c r="L1126" s="9">
        <v>0</v>
      </c>
      <c r="M1126" s="9">
        <v>0</v>
      </c>
      <c r="N1126" s="9">
        <v>0</v>
      </c>
      <c r="O1126" s="9">
        <v>1</v>
      </c>
      <c r="P1126" s="9">
        <v>1</v>
      </c>
      <c r="Q1126" s="9">
        <v>1</v>
      </c>
      <c r="R1126" s="9">
        <v>0</v>
      </c>
      <c r="S1126" s="9">
        <v>0</v>
      </c>
      <c r="T1126" s="9">
        <v>0</v>
      </c>
      <c r="U1126" s="9">
        <v>1</v>
      </c>
      <c r="V1126" s="9">
        <v>1</v>
      </c>
      <c r="W1126" s="9">
        <v>0</v>
      </c>
      <c r="X1126" s="1">
        <f t="shared" si="9"/>
        <v>7</v>
      </c>
    </row>
    <row r="1127" spans="2:24" ht="13.2" x14ac:dyDescent="0.25">
      <c r="B1127" s="109"/>
      <c r="C1127" s="9">
        <v>2021</v>
      </c>
      <c r="D1127" s="9">
        <v>0</v>
      </c>
      <c r="E1127" s="9">
        <v>1</v>
      </c>
      <c r="F1127" s="9">
        <v>0</v>
      </c>
      <c r="G1127" s="9">
        <v>1</v>
      </c>
      <c r="H1127" s="9">
        <v>1</v>
      </c>
      <c r="I1127" s="9">
        <v>0</v>
      </c>
      <c r="J1127" s="9">
        <v>1</v>
      </c>
      <c r="K1127" s="9">
        <v>0</v>
      </c>
      <c r="L1127" s="9">
        <v>0</v>
      </c>
      <c r="M1127" s="9">
        <v>0</v>
      </c>
      <c r="N1127" s="9">
        <v>1</v>
      </c>
      <c r="O1127" s="9">
        <v>0</v>
      </c>
      <c r="P1127" s="9">
        <v>0</v>
      </c>
      <c r="Q1127" s="9">
        <v>1</v>
      </c>
      <c r="R1127" s="9">
        <v>1</v>
      </c>
      <c r="S1127" s="9">
        <v>1</v>
      </c>
      <c r="T1127" s="9">
        <v>1</v>
      </c>
      <c r="U1127" s="9">
        <v>0</v>
      </c>
      <c r="V1127" s="9">
        <v>1</v>
      </c>
      <c r="W1127" s="9">
        <v>1</v>
      </c>
      <c r="X1127" s="1">
        <f t="shared" si="9"/>
        <v>11</v>
      </c>
    </row>
    <row r="1128" spans="2:24" ht="13.2" x14ac:dyDescent="0.25">
      <c r="B1128" s="110"/>
      <c r="C1128" s="9">
        <v>2022</v>
      </c>
      <c r="D1128" s="9">
        <v>1</v>
      </c>
      <c r="E1128" s="9">
        <v>1</v>
      </c>
      <c r="F1128" s="9">
        <v>0</v>
      </c>
      <c r="G1128" s="9">
        <v>0</v>
      </c>
      <c r="H1128" s="9">
        <v>0</v>
      </c>
      <c r="I1128" s="9">
        <v>1</v>
      </c>
      <c r="J1128" s="9">
        <v>1</v>
      </c>
      <c r="K1128" s="9">
        <v>1</v>
      </c>
      <c r="L1128" s="9">
        <v>1</v>
      </c>
      <c r="M1128" s="9">
        <v>1</v>
      </c>
      <c r="N1128" s="9">
        <v>0</v>
      </c>
      <c r="O1128" s="9">
        <v>1</v>
      </c>
      <c r="P1128" s="9">
        <v>1</v>
      </c>
      <c r="Q1128" s="9">
        <v>1</v>
      </c>
      <c r="R1128" s="9">
        <v>0</v>
      </c>
      <c r="S1128" s="9">
        <v>1</v>
      </c>
      <c r="T1128" s="9">
        <v>1</v>
      </c>
      <c r="U1128" s="9">
        <v>0</v>
      </c>
      <c r="V1128" s="9">
        <v>0</v>
      </c>
      <c r="W1128" s="9">
        <v>0</v>
      </c>
      <c r="X1128" s="1">
        <f t="shared" si="9"/>
        <v>12</v>
      </c>
    </row>
    <row r="1129" spans="2:24" ht="13.2" x14ac:dyDescent="0.25">
      <c r="B1129" s="108" t="s">
        <v>98</v>
      </c>
      <c r="C1129" s="9">
        <v>2018</v>
      </c>
      <c r="D1129" s="9">
        <v>1</v>
      </c>
      <c r="E1129" s="9">
        <v>0</v>
      </c>
      <c r="F1129" s="9">
        <v>1</v>
      </c>
      <c r="G1129" s="9">
        <v>1</v>
      </c>
      <c r="H1129" s="9">
        <v>0</v>
      </c>
      <c r="I1129" s="9">
        <v>0</v>
      </c>
      <c r="J1129" s="9">
        <v>1</v>
      </c>
      <c r="K1129" s="9">
        <v>1</v>
      </c>
      <c r="L1129" s="9">
        <v>1</v>
      </c>
      <c r="M1129" s="9">
        <v>0</v>
      </c>
      <c r="N1129" s="9">
        <v>0</v>
      </c>
      <c r="O1129" s="9">
        <v>0</v>
      </c>
      <c r="P1129" s="9">
        <v>0</v>
      </c>
      <c r="Q1129" s="9">
        <v>1</v>
      </c>
      <c r="R1129" s="9">
        <v>0</v>
      </c>
      <c r="S1129" s="9">
        <v>1</v>
      </c>
      <c r="T1129" s="9">
        <v>1</v>
      </c>
      <c r="U1129" s="9">
        <v>1</v>
      </c>
      <c r="V1129" s="9">
        <v>0</v>
      </c>
      <c r="W1129" s="9">
        <v>1</v>
      </c>
      <c r="X1129" s="1">
        <f t="shared" si="9"/>
        <v>11</v>
      </c>
    </row>
    <row r="1130" spans="2:24" ht="13.2" x14ac:dyDescent="0.25">
      <c r="B1130" s="109"/>
      <c r="C1130" s="9">
        <v>2019</v>
      </c>
      <c r="D1130" s="9">
        <v>1</v>
      </c>
      <c r="E1130" s="9">
        <v>1</v>
      </c>
      <c r="F1130" s="9">
        <v>0</v>
      </c>
      <c r="G1130" s="9">
        <v>0</v>
      </c>
      <c r="H1130" s="9">
        <v>1</v>
      </c>
      <c r="I1130" s="9">
        <v>1</v>
      </c>
      <c r="J1130" s="9">
        <v>1</v>
      </c>
      <c r="K1130" s="9">
        <v>1</v>
      </c>
      <c r="L1130" s="9">
        <v>1</v>
      </c>
      <c r="M1130" s="9">
        <v>0</v>
      </c>
      <c r="N1130" s="9">
        <v>0</v>
      </c>
      <c r="O1130" s="9">
        <v>0</v>
      </c>
      <c r="P1130" s="9">
        <v>0</v>
      </c>
      <c r="Q1130" s="9">
        <v>1</v>
      </c>
      <c r="R1130" s="9">
        <v>1</v>
      </c>
      <c r="S1130" s="9">
        <v>0</v>
      </c>
      <c r="T1130" s="9">
        <v>1</v>
      </c>
      <c r="U1130" s="9">
        <v>1</v>
      </c>
      <c r="V1130" s="9">
        <v>0</v>
      </c>
      <c r="W1130" s="9">
        <v>1</v>
      </c>
      <c r="X1130" s="1">
        <f t="shared" si="9"/>
        <v>12</v>
      </c>
    </row>
    <row r="1131" spans="2:24" ht="13.2" x14ac:dyDescent="0.25">
      <c r="B1131" s="109"/>
      <c r="C1131" s="9">
        <v>2020</v>
      </c>
      <c r="D1131" s="9">
        <v>1</v>
      </c>
      <c r="E1131" s="9">
        <v>1</v>
      </c>
      <c r="F1131" s="9">
        <v>1</v>
      </c>
      <c r="G1131" s="9">
        <v>1</v>
      </c>
      <c r="H1131" s="9">
        <v>0</v>
      </c>
      <c r="I1131" s="9">
        <v>1</v>
      </c>
      <c r="J1131" s="9">
        <v>0</v>
      </c>
      <c r="K1131" s="9">
        <v>0</v>
      </c>
      <c r="L1131" s="9">
        <v>0</v>
      </c>
      <c r="M1131" s="9">
        <v>0</v>
      </c>
      <c r="N1131" s="9">
        <v>0</v>
      </c>
      <c r="O1131" s="9">
        <v>1</v>
      </c>
      <c r="P1131" s="9">
        <v>0</v>
      </c>
      <c r="Q1131" s="9">
        <v>1</v>
      </c>
      <c r="R1131" s="9">
        <v>1</v>
      </c>
      <c r="S1131" s="9">
        <v>0</v>
      </c>
      <c r="T1131" s="9">
        <v>0</v>
      </c>
      <c r="U1131" s="9">
        <v>1</v>
      </c>
      <c r="V1131" s="9">
        <v>0</v>
      </c>
      <c r="W1131" s="9">
        <v>0</v>
      </c>
      <c r="X1131" s="1">
        <f t="shared" si="9"/>
        <v>9</v>
      </c>
    </row>
    <row r="1132" spans="2:24" ht="13.2" x14ac:dyDescent="0.25">
      <c r="B1132" s="109"/>
      <c r="C1132" s="9">
        <v>2021</v>
      </c>
      <c r="D1132" s="9">
        <v>1</v>
      </c>
      <c r="E1132" s="9">
        <v>0</v>
      </c>
      <c r="F1132" s="9">
        <v>0</v>
      </c>
      <c r="G1132" s="9">
        <v>0</v>
      </c>
      <c r="H1132" s="9">
        <v>0</v>
      </c>
      <c r="I1132" s="9">
        <v>0</v>
      </c>
      <c r="J1132" s="9">
        <v>0</v>
      </c>
      <c r="K1132" s="9">
        <v>1</v>
      </c>
      <c r="L1132" s="9">
        <v>1</v>
      </c>
      <c r="M1132" s="9">
        <v>1</v>
      </c>
      <c r="N1132" s="9">
        <v>1</v>
      </c>
      <c r="O1132" s="9">
        <v>1</v>
      </c>
      <c r="P1132" s="9">
        <v>0</v>
      </c>
      <c r="Q1132" s="9">
        <v>1</v>
      </c>
      <c r="R1132" s="9">
        <v>1</v>
      </c>
      <c r="S1132" s="9">
        <v>1</v>
      </c>
      <c r="T1132" s="9">
        <v>0</v>
      </c>
      <c r="U1132" s="9">
        <v>1</v>
      </c>
      <c r="V1132" s="9">
        <v>1</v>
      </c>
      <c r="W1132" s="9">
        <v>0</v>
      </c>
      <c r="X1132" s="1">
        <f t="shared" si="9"/>
        <v>11</v>
      </c>
    </row>
    <row r="1133" spans="2:24" ht="13.2" x14ac:dyDescent="0.25">
      <c r="B1133" s="110"/>
      <c r="C1133" s="9">
        <v>2022</v>
      </c>
      <c r="D1133" s="9">
        <v>1</v>
      </c>
      <c r="E1133" s="9">
        <v>0</v>
      </c>
      <c r="F1133" s="9">
        <v>0</v>
      </c>
      <c r="G1133" s="9">
        <v>1</v>
      </c>
      <c r="H1133" s="9">
        <v>1</v>
      </c>
      <c r="I1133" s="9">
        <v>0</v>
      </c>
      <c r="J1133" s="9">
        <v>0</v>
      </c>
      <c r="K1133" s="9">
        <v>1</v>
      </c>
      <c r="L1133" s="9">
        <v>1</v>
      </c>
      <c r="M1133" s="9">
        <v>1</v>
      </c>
      <c r="N1133" s="9">
        <v>0</v>
      </c>
      <c r="O1133" s="9">
        <v>0</v>
      </c>
      <c r="P1133" s="9">
        <v>0</v>
      </c>
      <c r="Q1133" s="9">
        <v>0</v>
      </c>
      <c r="R1133" s="9">
        <v>1</v>
      </c>
      <c r="S1133" s="9">
        <v>1</v>
      </c>
      <c r="T1133" s="9">
        <v>0</v>
      </c>
      <c r="U1133" s="9">
        <v>0</v>
      </c>
      <c r="V1133" s="9">
        <v>1</v>
      </c>
      <c r="W1133" s="9">
        <v>0</v>
      </c>
      <c r="X1133" s="1">
        <f t="shared" si="9"/>
        <v>9</v>
      </c>
    </row>
    <row r="1134" spans="2:24" ht="13.2" x14ac:dyDescent="0.25">
      <c r="B1134" s="108" t="s">
        <v>114</v>
      </c>
      <c r="C1134" s="9">
        <v>2018</v>
      </c>
      <c r="D1134" s="9">
        <v>0</v>
      </c>
      <c r="E1134" s="9">
        <v>0</v>
      </c>
      <c r="F1134" s="9">
        <v>1</v>
      </c>
      <c r="G1134" s="9">
        <v>0</v>
      </c>
      <c r="H1134" s="9">
        <v>1</v>
      </c>
      <c r="I1134" s="9">
        <v>1</v>
      </c>
      <c r="J1134" s="9">
        <v>1</v>
      </c>
      <c r="K1134" s="9">
        <v>1</v>
      </c>
      <c r="L1134" s="9">
        <v>0</v>
      </c>
      <c r="M1134" s="9">
        <v>0</v>
      </c>
      <c r="N1134" s="9">
        <v>0</v>
      </c>
      <c r="O1134" s="9">
        <v>0</v>
      </c>
      <c r="P1134" s="9">
        <v>1</v>
      </c>
      <c r="Q1134" s="9">
        <v>0</v>
      </c>
      <c r="R1134" s="9">
        <v>1</v>
      </c>
      <c r="S1134" s="9">
        <v>0</v>
      </c>
      <c r="T1134" s="9">
        <v>0</v>
      </c>
      <c r="U1134" s="9">
        <v>1</v>
      </c>
      <c r="V1134" s="9">
        <v>1</v>
      </c>
      <c r="W1134" s="9">
        <v>1</v>
      </c>
      <c r="X1134" s="1">
        <f t="shared" si="9"/>
        <v>10</v>
      </c>
    </row>
    <row r="1135" spans="2:24" ht="13.2" x14ac:dyDescent="0.25">
      <c r="B1135" s="109"/>
      <c r="C1135" s="9">
        <v>2019</v>
      </c>
      <c r="D1135" s="9">
        <v>0</v>
      </c>
      <c r="E1135" s="9">
        <v>1</v>
      </c>
      <c r="F1135" s="9">
        <v>0</v>
      </c>
      <c r="G1135" s="9">
        <v>1</v>
      </c>
      <c r="H1135" s="9">
        <v>1</v>
      </c>
      <c r="I1135" s="9">
        <v>1</v>
      </c>
      <c r="J1135" s="9">
        <v>1</v>
      </c>
      <c r="K1135" s="9">
        <v>1</v>
      </c>
      <c r="L1135" s="9">
        <v>1</v>
      </c>
      <c r="M1135" s="9">
        <v>1</v>
      </c>
      <c r="N1135" s="9">
        <v>1</v>
      </c>
      <c r="O1135" s="9">
        <v>1</v>
      </c>
      <c r="P1135" s="9">
        <v>1</v>
      </c>
      <c r="Q1135" s="9">
        <v>1</v>
      </c>
      <c r="R1135" s="9">
        <v>1</v>
      </c>
      <c r="S1135" s="9">
        <v>0</v>
      </c>
      <c r="T1135" s="9">
        <v>1</v>
      </c>
      <c r="U1135" s="9">
        <v>0</v>
      </c>
      <c r="V1135" s="9">
        <v>1</v>
      </c>
      <c r="W1135" s="9">
        <v>0</v>
      </c>
      <c r="X1135" s="1">
        <f t="shared" si="9"/>
        <v>15</v>
      </c>
    </row>
    <row r="1136" spans="2:24" ht="13.2" x14ac:dyDescent="0.25">
      <c r="B1136" s="109"/>
      <c r="C1136" s="9">
        <v>2020</v>
      </c>
      <c r="D1136" s="9">
        <v>1</v>
      </c>
      <c r="E1136" s="9">
        <v>1</v>
      </c>
      <c r="F1136" s="9">
        <v>0</v>
      </c>
      <c r="G1136" s="9">
        <v>0</v>
      </c>
      <c r="H1136" s="9">
        <v>1</v>
      </c>
      <c r="I1136" s="9">
        <v>0</v>
      </c>
      <c r="J1136" s="9">
        <v>1</v>
      </c>
      <c r="K1136" s="9">
        <v>0</v>
      </c>
      <c r="L1136" s="9">
        <v>0</v>
      </c>
      <c r="M1136" s="9">
        <v>1</v>
      </c>
      <c r="N1136" s="9">
        <v>0</v>
      </c>
      <c r="O1136" s="9">
        <v>0</v>
      </c>
      <c r="P1136" s="9">
        <v>1</v>
      </c>
      <c r="Q1136" s="9">
        <v>1</v>
      </c>
      <c r="R1136" s="9">
        <v>1</v>
      </c>
      <c r="S1136" s="9">
        <v>1</v>
      </c>
      <c r="T1136" s="9">
        <v>1</v>
      </c>
      <c r="U1136" s="9">
        <v>1</v>
      </c>
      <c r="V1136" s="9">
        <v>1</v>
      </c>
      <c r="W1136" s="9">
        <v>0</v>
      </c>
      <c r="X1136" s="1">
        <f t="shared" si="9"/>
        <v>12</v>
      </c>
    </row>
    <row r="1137" spans="2:24" ht="13.2" x14ac:dyDescent="0.25">
      <c r="B1137" s="109"/>
      <c r="C1137" s="9">
        <v>2021</v>
      </c>
      <c r="D1137" s="9">
        <v>1</v>
      </c>
      <c r="E1137" s="9">
        <v>1</v>
      </c>
      <c r="F1137" s="9">
        <v>1</v>
      </c>
      <c r="G1137" s="9">
        <v>1</v>
      </c>
      <c r="H1137" s="9">
        <v>1</v>
      </c>
      <c r="I1137" s="9">
        <v>1</v>
      </c>
      <c r="J1137" s="9">
        <v>1</v>
      </c>
      <c r="K1137" s="9">
        <v>0</v>
      </c>
      <c r="L1137" s="9">
        <v>0</v>
      </c>
      <c r="M1137" s="9">
        <v>0</v>
      </c>
      <c r="N1137" s="9">
        <v>1</v>
      </c>
      <c r="O1137" s="9">
        <v>1</v>
      </c>
      <c r="P1137" s="9">
        <v>0</v>
      </c>
      <c r="Q1137" s="9">
        <v>1</v>
      </c>
      <c r="R1137" s="9">
        <v>0</v>
      </c>
      <c r="S1137" s="9">
        <v>1</v>
      </c>
      <c r="T1137" s="9">
        <v>0</v>
      </c>
      <c r="U1137" s="9">
        <v>1</v>
      </c>
      <c r="V1137" s="9">
        <v>1</v>
      </c>
      <c r="W1137" s="9">
        <v>0</v>
      </c>
      <c r="X1137" s="1">
        <f t="shared" si="9"/>
        <v>13</v>
      </c>
    </row>
    <row r="1138" spans="2:24" ht="13.2" x14ac:dyDescent="0.25">
      <c r="B1138" s="110"/>
      <c r="C1138" s="9">
        <v>2022</v>
      </c>
      <c r="D1138" s="9">
        <v>0</v>
      </c>
      <c r="E1138" s="9">
        <v>1</v>
      </c>
      <c r="F1138" s="9">
        <v>0</v>
      </c>
      <c r="G1138" s="9">
        <v>0</v>
      </c>
      <c r="H1138" s="9">
        <v>0</v>
      </c>
      <c r="I1138" s="9">
        <v>0</v>
      </c>
      <c r="J1138" s="9">
        <v>0</v>
      </c>
      <c r="K1138" s="9">
        <v>1</v>
      </c>
      <c r="L1138" s="9">
        <v>1</v>
      </c>
      <c r="M1138" s="9">
        <v>1</v>
      </c>
      <c r="N1138" s="9">
        <v>1</v>
      </c>
      <c r="O1138" s="9">
        <v>0</v>
      </c>
      <c r="P1138" s="9">
        <v>0</v>
      </c>
      <c r="Q1138" s="9">
        <v>0</v>
      </c>
      <c r="R1138" s="9">
        <v>0</v>
      </c>
      <c r="S1138" s="9">
        <v>0</v>
      </c>
      <c r="T1138" s="9">
        <v>1</v>
      </c>
      <c r="U1138" s="9">
        <v>0</v>
      </c>
      <c r="V1138" s="9">
        <v>0</v>
      </c>
      <c r="W1138" s="9">
        <v>1</v>
      </c>
      <c r="X1138" s="1">
        <f t="shared" si="9"/>
        <v>7</v>
      </c>
    </row>
    <row r="1139" spans="2:24" ht="13.2" x14ac:dyDescent="0.25">
      <c r="B1139" s="108" t="s">
        <v>129</v>
      </c>
      <c r="C1139" s="9">
        <v>2018</v>
      </c>
      <c r="D1139" s="9">
        <v>1</v>
      </c>
      <c r="E1139" s="9">
        <v>1</v>
      </c>
      <c r="F1139" s="9">
        <v>0</v>
      </c>
      <c r="G1139" s="9">
        <v>1</v>
      </c>
      <c r="H1139" s="9">
        <v>1</v>
      </c>
      <c r="I1139" s="9">
        <v>1</v>
      </c>
      <c r="J1139" s="9">
        <v>1</v>
      </c>
      <c r="K1139" s="9">
        <v>0</v>
      </c>
      <c r="L1139" s="9">
        <v>1</v>
      </c>
      <c r="M1139" s="9">
        <v>0</v>
      </c>
      <c r="N1139" s="9">
        <v>1</v>
      </c>
      <c r="O1139" s="9">
        <v>1</v>
      </c>
      <c r="P1139" s="9">
        <v>1</v>
      </c>
      <c r="Q1139" s="9">
        <v>0</v>
      </c>
      <c r="R1139" s="9">
        <v>0</v>
      </c>
      <c r="S1139" s="9">
        <v>0</v>
      </c>
      <c r="T1139" s="9">
        <v>1</v>
      </c>
      <c r="U1139" s="9">
        <v>1</v>
      </c>
      <c r="V1139" s="9">
        <v>0</v>
      </c>
      <c r="W1139" s="9">
        <v>0</v>
      </c>
      <c r="X1139" s="1">
        <f t="shared" si="9"/>
        <v>12</v>
      </c>
    </row>
    <row r="1140" spans="2:24" ht="13.2" x14ac:dyDescent="0.25">
      <c r="B1140" s="109"/>
      <c r="C1140" s="9">
        <v>2019</v>
      </c>
      <c r="D1140" s="9">
        <v>1</v>
      </c>
      <c r="E1140" s="9">
        <v>0</v>
      </c>
      <c r="F1140" s="9">
        <v>1</v>
      </c>
      <c r="G1140" s="9">
        <v>0</v>
      </c>
      <c r="H1140" s="9">
        <v>1</v>
      </c>
      <c r="I1140" s="9">
        <v>0</v>
      </c>
      <c r="J1140" s="9">
        <v>1</v>
      </c>
      <c r="K1140" s="9">
        <v>1</v>
      </c>
      <c r="L1140" s="9">
        <v>0</v>
      </c>
      <c r="M1140" s="9">
        <v>1</v>
      </c>
      <c r="N1140" s="9">
        <v>1</v>
      </c>
      <c r="O1140" s="9">
        <v>1</v>
      </c>
      <c r="P1140" s="9">
        <v>1</v>
      </c>
      <c r="Q1140" s="9">
        <v>1</v>
      </c>
      <c r="R1140" s="9">
        <v>1</v>
      </c>
      <c r="S1140" s="9">
        <v>1</v>
      </c>
      <c r="T1140" s="9">
        <v>1</v>
      </c>
      <c r="U1140" s="9">
        <v>0</v>
      </c>
      <c r="V1140" s="9">
        <v>0</v>
      </c>
      <c r="W1140" s="9">
        <v>1</v>
      </c>
      <c r="X1140" s="1">
        <f t="shared" si="9"/>
        <v>14</v>
      </c>
    </row>
    <row r="1141" spans="2:24" ht="13.2" x14ac:dyDescent="0.25">
      <c r="B1141" s="109"/>
      <c r="C1141" s="9">
        <v>2020</v>
      </c>
      <c r="D1141" s="9">
        <v>0</v>
      </c>
      <c r="E1141" s="9">
        <v>1</v>
      </c>
      <c r="F1141" s="9">
        <v>1</v>
      </c>
      <c r="G1141" s="9">
        <v>1</v>
      </c>
      <c r="H1141" s="9">
        <v>0</v>
      </c>
      <c r="I1141" s="9">
        <v>0</v>
      </c>
      <c r="J1141" s="9">
        <v>1</v>
      </c>
      <c r="K1141" s="9">
        <v>0</v>
      </c>
      <c r="L1141" s="9">
        <v>1</v>
      </c>
      <c r="M1141" s="9">
        <v>1</v>
      </c>
      <c r="N1141" s="9">
        <v>1</v>
      </c>
      <c r="O1141" s="9">
        <v>0</v>
      </c>
      <c r="P1141" s="9">
        <v>1</v>
      </c>
      <c r="Q1141" s="9">
        <v>0</v>
      </c>
      <c r="R1141" s="9">
        <v>0</v>
      </c>
      <c r="S1141" s="9">
        <v>0</v>
      </c>
      <c r="T1141" s="9">
        <v>0</v>
      </c>
      <c r="U1141" s="9">
        <v>0</v>
      </c>
      <c r="V1141" s="9">
        <v>1</v>
      </c>
      <c r="W1141" s="9">
        <v>1</v>
      </c>
      <c r="X1141" s="1">
        <f t="shared" si="9"/>
        <v>10</v>
      </c>
    </row>
    <row r="1142" spans="2:24" ht="13.2" x14ac:dyDescent="0.25">
      <c r="B1142" s="109"/>
      <c r="C1142" s="9">
        <v>2021</v>
      </c>
      <c r="D1142" s="9">
        <v>0</v>
      </c>
      <c r="E1142" s="9">
        <v>0</v>
      </c>
      <c r="F1142" s="9">
        <v>1</v>
      </c>
      <c r="G1142" s="9">
        <v>0</v>
      </c>
      <c r="H1142" s="9">
        <v>1</v>
      </c>
      <c r="I1142" s="9">
        <v>0</v>
      </c>
      <c r="J1142" s="9">
        <v>0</v>
      </c>
      <c r="K1142" s="9">
        <v>0</v>
      </c>
      <c r="L1142" s="9">
        <v>0</v>
      </c>
      <c r="M1142" s="9">
        <v>1</v>
      </c>
      <c r="N1142" s="9">
        <v>1</v>
      </c>
      <c r="O1142" s="9">
        <v>1</v>
      </c>
      <c r="P1142" s="9">
        <v>1</v>
      </c>
      <c r="Q1142" s="9">
        <v>1</v>
      </c>
      <c r="R1142" s="9">
        <v>1</v>
      </c>
      <c r="S1142" s="9">
        <v>1</v>
      </c>
      <c r="T1142" s="9">
        <v>0</v>
      </c>
      <c r="U1142" s="9">
        <v>1</v>
      </c>
      <c r="V1142" s="9">
        <v>0</v>
      </c>
      <c r="W1142" s="9">
        <v>1</v>
      </c>
      <c r="X1142" s="1">
        <f t="shared" si="9"/>
        <v>11</v>
      </c>
    </row>
    <row r="1143" spans="2:24" ht="13.2" x14ac:dyDescent="0.25">
      <c r="B1143" s="110"/>
      <c r="C1143" s="9">
        <v>2022</v>
      </c>
      <c r="D1143" s="9">
        <v>1</v>
      </c>
      <c r="E1143" s="9">
        <v>1</v>
      </c>
      <c r="F1143" s="9">
        <v>1</v>
      </c>
      <c r="G1143" s="9">
        <v>1</v>
      </c>
      <c r="H1143" s="9">
        <v>0</v>
      </c>
      <c r="I1143" s="9">
        <v>0</v>
      </c>
      <c r="J1143" s="9">
        <v>1</v>
      </c>
      <c r="K1143" s="9">
        <v>0</v>
      </c>
      <c r="L1143" s="9">
        <v>0</v>
      </c>
      <c r="M1143" s="9">
        <v>0</v>
      </c>
      <c r="N1143" s="9">
        <v>0</v>
      </c>
      <c r="O1143" s="9">
        <v>1</v>
      </c>
      <c r="P1143" s="9">
        <v>1</v>
      </c>
      <c r="Q1143" s="9">
        <v>1</v>
      </c>
      <c r="R1143" s="9">
        <v>1</v>
      </c>
      <c r="S1143" s="9">
        <v>1</v>
      </c>
      <c r="T1143" s="9">
        <v>0</v>
      </c>
      <c r="U1143" s="9">
        <v>1</v>
      </c>
      <c r="V1143" s="9">
        <v>0</v>
      </c>
      <c r="W1143" s="9">
        <v>0</v>
      </c>
      <c r="X1143" s="1">
        <f t="shared" si="9"/>
        <v>11</v>
      </c>
    </row>
    <row r="1144" spans="2:24" ht="13.2" x14ac:dyDescent="0.25">
      <c r="B1144" s="108" t="s">
        <v>140</v>
      </c>
      <c r="C1144" s="9">
        <v>2018</v>
      </c>
      <c r="D1144" s="9">
        <v>0</v>
      </c>
      <c r="E1144" s="9">
        <v>1</v>
      </c>
      <c r="F1144" s="9">
        <v>0</v>
      </c>
      <c r="G1144" s="9">
        <v>1</v>
      </c>
      <c r="H1144" s="9">
        <v>0</v>
      </c>
      <c r="I1144" s="9">
        <v>1</v>
      </c>
      <c r="J1144" s="9">
        <v>0</v>
      </c>
      <c r="K1144" s="9">
        <v>1</v>
      </c>
      <c r="L1144" s="9">
        <v>1</v>
      </c>
      <c r="M1144" s="9">
        <v>0</v>
      </c>
      <c r="N1144" s="9">
        <v>0</v>
      </c>
      <c r="O1144" s="9">
        <v>1</v>
      </c>
      <c r="P1144" s="9">
        <v>0</v>
      </c>
      <c r="Q1144" s="9">
        <v>0</v>
      </c>
      <c r="R1144" s="9">
        <v>0</v>
      </c>
      <c r="S1144" s="9">
        <v>1</v>
      </c>
      <c r="T1144" s="9">
        <v>1</v>
      </c>
      <c r="U1144" s="9">
        <v>0</v>
      </c>
      <c r="V1144" s="9">
        <v>0</v>
      </c>
      <c r="W1144" s="9">
        <v>1</v>
      </c>
      <c r="X1144" s="1">
        <f t="shared" si="9"/>
        <v>9</v>
      </c>
    </row>
    <row r="1145" spans="2:24" ht="13.2" x14ac:dyDescent="0.25">
      <c r="B1145" s="109"/>
      <c r="C1145" s="9">
        <v>2019</v>
      </c>
      <c r="D1145" s="9">
        <v>1</v>
      </c>
      <c r="E1145" s="9">
        <v>1</v>
      </c>
      <c r="F1145" s="9">
        <v>1</v>
      </c>
      <c r="G1145" s="9">
        <v>0</v>
      </c>
      <c r="H1145" s="9">
        <v>1</v>
      </c>
      <c r="I1145" s="9">
        <v>1</v>
      </c>
      <c r="J1145" s="9">
        <v>0</v>
      </c>
      <c r="K1145" s="9">
        <v>0</v>
      </c>
      <c r="L1145" s="9">
        <v>1</v>
      </c>
      <c r="M1145" s="9">
        <v>1</v>
      </c>
      <c r="N1145" s="9">
        <v>1</v>
      </c>
      <c r="O1145" s="9">
        <v>1</v>
      </c>
      <c r="P1145" s="9">
        <v>0</v>
      </c>
      <c r="Q1145" s="9">
        <v>1</v>
      </c>
      <c r="R1145" s="9">
        <v>0</v>
      </c>
      <c r="S1145" s="9">
        <v>0</v>
      </c>
      <c r="T1145" s="9">
        <v>1</v>
      </c>
      <c r="U1145" s="9">
        <v>0</v>
      </c>
      <c r="V1145" s="9">
        <v>1</v>
      </c>
      <c r="W1145" s="9">
        <v>0</v>
      </c>
      <c r="X1145" s="1">
        <f t="shared" si="9"/>
        <v>12</v>
      </c>
    </row>
    <row r="1146" spans="2:24" ht="13.2" x14ac:dyDescent="0.25">
      <c r="B1146" s="109"/>
      <c r="C1146" s="9">
        <v>2020</v>
      </c>
      <c r="D1146" s="9">
        <v>0</v>
      </c>
      <c r="E1146" s="9">
        <v>1</v>
      </c>
      <c r="F1146" s="9">
        <v>1</v>
      </c>
      <c r="G1146" s="9">
        <v>1</v>
      </c>
      <c r="H1146" s="9">
        <v>0</v>
      </c>
      <c r="I1146" s="9">
        <v>1</v>
      </c>
      <c r="J1146" s="9">
        <v>1</v>
      </c>
      <c r="K1146" s="9">
        <v>1</v>
      </c>
      <c r="L1146" s="9">
        <v>0</v>
      </c>
      <c r="M1146" s="9">
        <v>0</v>
      </c>
      <c r="N1146" s="9">
        <v>1</v>
      </c>
      <c r="O1146" s="9">
        <v>1</v>
      </c>
      <c r="P1146" s="9">
        <v>1</v>
      </c>
      <c r="Q1146" s="9">
        <v>0</v>
      </c>
      <c r="R1146" s="9">
        <v>0</v>
      </c>
      <c r="S1146" s="9">
        <v>1</v>
      </c>
      <c r="T1146" s="9">
        <v>0</v>
      </c>
      <c r="U1146" s="9">
        <v>0</v>
      </c>
      <c r="V1146" s="9">
        <v>1</v>
      </c>
      <c r="W1146" s="9">
        <v>0</v>
      </c>
      <c r="X1146" s="1">
        <f t="shared" si="9"/>
        <v>11</v>
      </c>
    </row>
    <row r="1147" spans="2:24" ht="13.2" x14ac:dyDescent="0.25">
      <c r="B1147" s="109"/>
      <c r="C1147" s="9">
        <v>2021</v>
      </c>
      <c r="D1147" s="9">
        <v>0</v>
      </c>
      <c r="E1147" s="9">
        <v>1</v>
      </c>
      <c r="F1147" s="9">
        <v>0</v>
      </c>
      <c r="G1147" s="9">
        <v>1</v>
      </c>
      <c r="H1147" s="9">
        <v>0</v>
      </c>
      <c r="I1147" s="9">
        <v>0</v>
      </c>
      <c r="J1147" s="9">
        <v>0</v>
      </c>
      <c r="K1147" s="9">
        <v>0</v>
      </c>
      <c r="L1147" s="9">
        <v>0</v>
      </c>
      <c r="M1147" s="9">
        <v>0</v>
      </c>
      <c r="N1147" s="9">
        <v>0</v>
      </c>
      <c r="O1147" s="9">
        <v>0</v>
      </c>
      <c r="P1147" s="9">
        <v>0</v>
      </c>
      <c r="Q1147" s="9">
        <v>0</v>
      </c>
      <c r="R1147" s="9">
        <v>0</v>
      </c>
      <c r="S1147" s="9">
        <v>0</v>
      </c>
      <c r="T1147" s="9">
        <v>1</v>
      </c>
      <c r="U1147" s="9">
        <v>0</v>
      </c>
      <c r="V1147" s="9">
        <v>0</v>
      </c>
      <c r="W1147" s="9">
        <v>1</v>
      </c>
      <c r="X1147" s="1">
        <f t="shared" si="9"/>
        <v>4</v>
      </c>
    </row>
    <row r="1148" spans="2:24" ht="13.2" x14ac:dyDescent="0.25">
      <c r="B1148" s="110"/>
      <c r="C1148" s="9">
        <v>2022</v>
      </c>
      <c r="D1148" s="9">
        <v>0</v>
      </c>
      <c r="E1148" s="9">
        <v>1</v>
      </c>
      <c r="F1148" s="9">
        <v>0</v>
      </c>
      <c r="G1148" s="9">
        <v>0</v>
      </c>
      <c r="H1148" s="9">
        <v>1</v>
      </c>
      <c r="I1148" s="9">
        <v>1</v>
      </c>
      <c r="J1148" s="9">
        <v>1</v>
      </c>
      <c r="K1148" s="9">
        <v>1</v>
      </c>
      <c r="L1148" s="9">
        <v>1</v>
      </c>
      <c r="M1148" s="9">
        <v>0</v>
      </c>
      <c r="N1148" s="9">
        <v>0</v>
      </c>
      <c r="O1148" s="9">
        <v>1</v>
      </c>
      <c r="P1148" s="9">
        <v>1</v>
      </c>
      <c r="Q1148" s="9">
        <v>1</v>
      </c>
      <c r="R1148" s="9">
        <v>1</v>
      </c>
      <c r="S1148" s="9">
        <v>0</v>
      </c>
      <c r="T1148" s="9">
        <v>1</v>
      </c>
      <c r="U1148" s="9">
        <v>0</v>
      </c>
      <c r="V1148" s="9">
        <v>0</v>
      </c>
      <c r="W1148" s="9">
        <v>0</v>
      </c>
      <c r="X1148" s="1">
        <f t="shared" si="9"/>
        <v>11</v>
      </c>
    </row>
    <row r="1149" spans="2:24" ht="13.2" x14ac:dyDescent="0.25">
      <c r="B1149" s="108" t="s">
        <v>150</v>
      </c>
      <c r="C1149" s="9">
        <v>2018</v>
      </c>
      <c r="D1149" s="9">
        <v>0</v>
      </c>
      <c r="E1149" s="9">
        <v>1</v>
      </c>
      <c r="F1149" s="9">
        <v>1</v>
      </c>
      <c r="G1149" s="9">
        <v>0</v>
      </c>
      <c r="H1149" s="9">
        <v>1</v>
      </c>
      <c r="I1149" s="9">
        <v>1</v>
      </c>
      <c r="J1149" s="9">
        <v>1</v>
      </c>
      <c r="K1149" s="9">
        <v>1</v>
      </c>
      <c r="L1149" s="9">
        <v>0</v>
      </c>
      <c r="M1149" s="9">
        <v>1</v>
      </c>
      <c r="N1149" s="9">
        <v>1</v>
      </c>
      <c r="O1149" s="9">
        <v>1</v>
      </c>
      <c r="P1149" s="9">
        <v>1</v>
      </c>
      <c r="Q1149" s="9">
        <v>1</v>
      </c>
      <c r="R1149" s="9">
        <v>1</v>
      </c>
      <c r="S1149" s="9">
        <v>1</v>
      </c>
      <c r="T1149" s="9">
        <v>1</v>
      </c>
      <c r="U1149" s="9">
        <v>0</v>
      </c>
      <c r="V1149" s="9">
        <v>1</v>
      </c>
      <c r="W1149" s="9">
        <v>1</v>
      </c>
      <c r="X1149" s="1">
        <f t="shared" si="9"/>
        <v>16</v>
      </c>
    </row>
    <row r="1150" spans="2:24" ht="13.2" x14ac:dyDescent="0.25">
      <c r="B1150" s="109"/>
      <c r="C1150" s="9">
        <v>2019</v>
      </c>
      <c r="D1150" s="9">
        <v>0</v>
      </c>
      <c r="E1150" s="9">
        <v>1</v>
      </c>
      <c r="F1150" s="9">
        <v>0</v>
      </c>
      <c r="G1150" s="9">
        <v>0</v>
      </c>
      <c r="H1150" s="9">
        <v>1</v>
      </c>
      <c r="I1150" s="9">
        <v>1</v>
      </c>
      <c r="J1150" s="9">
        <v>1</v>
      </c>
      <c r="K1150" s="9">
        <v>1</v>
      </c>
      <c r="L1150" s="9">
        <v>0</v>
      </c>
      <c r="M1150" s="9">
        <v>1</v>
      </c>
      <c r="N1150" s="9">
        <v>0</v>
      </c>
      <c r="O1150" s="9">
        <v>0</v>
      </c>
      <c r="P1150" s="9">
        <v>0</v>
      </c>
      <c r="Q1150" s="9">
        <v>1</v>
      </c>
      <c r="R1150" s="9">
        <v>1</v>
      </c>
      <c r="S1150" s="9">
        <v>1</v>
      </c>
      <c r="T1150" s="9">
        <v>1</v>
      </c>
      <c r="U1150" s="9">
        <v>1</v>
      </c>
      <c r="V1150" s="9">
        <v>1</v>
      </c>
      <c r="W1150" s="9">
        <v>1</v>
      </c>
      <c r="X1150" s="1">
        <f t="shared" si="9"/>
        <v>13</v>
      </c>
    </row>
    <row r="1151" spans="2:24" ht="13.2" x14ac:dyDescent="0.25">
      <c r="B1151" s="109"/>
      <c r="C1151" s="9">
        <v>2020</v>
      </c>
      <c r="D1151" s="9">
        <v>0</v>
      </c>
      <c r="E1151" s="9">
        <v>0</v>
      </c>
      <c r="F1151" s="9">
        <v>0</v>
      </c>
      <c r="G1151" s="9">
        <v>0</v>
      </c>
      <c r="H1151" s="9">
        <v>0</v>
      </c>
      <c r="I1151" s="9">
        <v>0</v>
      </c>
      <c r="J1151" s="9">
        <v>0</v>
      </c>
      <c r="K1151" s="9">
        <v>1</v>
      </c>
      <c r="L1151" s="9">
        <v>1</v>
      </c>
      <c r="M1151" s="9">
        <v>1</v>
      </c>
      <c r="N1151" s="9">
        <v>0</v>
      </c>
      <c r="O1151" s="9">
        <v>1</v>
      </c>
      <c r="P1151" s="9">
        <v>1</v>
      </c>
      <c r="Q1151" s="9">
        <v>0</v>
      </c>
      <c r="R1151" s="9">
        <v>1</v>
      </c>
      <c r="S1151" s="9">
        <v>1</v>
      </c>
      <c r="T1151" s="9">
        <v>1</v>
      </c>
      <c r="U1151" s="9">
        <v>0</v>
      </c>
      <c r="V1151" s="9">
        <v>1</v>
      </c>
      <c r="W1151" s="9">
        <v>0</v>
      </c>
      <c r="X1151" s="1">
        <f t="shared" si="9"/>
        <v>9</v>
      </c>
    </row>
    <row r="1152" spans="2:24" ht="13.2" x14ac:dyDescent="0.25">
      <c r="B1152" s="109"/>
      <c r="C1152" s="9">
        <v>2021</v>
      </c>
      <c r="D1152" s="9">
        <v>1</v>
      </c>
      <c r="E1152" s="9">
        <v>0</v>
      </c>
      <c r="F1152" s="9">
        <v>0</v>
      </c>
      <c r="G1152" s="9">
        <v>1</v>
      </c>
      <c r="H1152" s="9">
        <v>1</v>
      </c>
      <c r="I1152" s="9">
        <v>1</v>
      </c>
      <c r="J1152" s="9">
        <v>0</v>
      </c>
      <c r="K1152" s="9">
        <v>0</v>
      </c>
      <c r="L1152" s="9">
        <v>0</v>
      </c>
      <c r="M1152" s="9">
        <v>0</v>
      </c>
      <c r="N1152" s="9">
        <v>1</v>
      </c>
      <c r="O1152" s="9">
        <v>1</v>
      </c>
      <c r="P1152" s="9">
        <v>0</v>
      </c>
      <c r="Q1152" s="9">
        <v>0</v>
      </c>
      <c r="R1152" s="9">
        <v>1</v>
      </c>
      <c r="S1152" s="9">
        <v>1</v>
      </c>
      <c r="T1152" s="9">
        <v>1</v>
      </c>
      <c r="U1152" s="9">
        <v>1</v>
      </c>
      <c r="V1152" s="9">
        <v>0</v>
      </c>
      <c r="W1152" s="9">
        <v>0</v>
      </c>
      <c r="X1152" s="1">
        <f t="shared" si="9"/>
        <v>10</v>
      </c>
    </row>
    <row r="1153" spans="2:24" ht="13.2" x14ac:dyDescent="0.25">
      <c r="B1153" s="110"/>
      <c r="C1153" s="9">
        <v>2022</v>
      </c>
      <c r="D1153" s="9">
        <v>1</v>
      </c>
      <c r="E1153" s="9">
        <v>1</v>
      </c>
      <c r="F1153" s="9">
        <v>1</v>
      </c>
      <c r="G1153" s="9">
        <v>0</v>
      </c>
      <c r="H1153" s="9">
        <v>1</v>
      </c>
      <c r="I1153" s="9">
        <v>0</v>
      </c>
      <c r="J1153" s="9">
        <v>1</v>
      </c>
      <c r="K1153" s="9">
        <v>0</v>
      </c>
      <c r="L1153" s="9">
        <v>0</v>
      </c>
      <c r="M1153" s="9">
        <v>0</v>
      </c>
      <c r="N1153" s="9">
        <v>0</v>
      </c>
      <c r="O1153" s="9">
        <v>0</v>
      </c>
      <c r="P1153" s="9">
        <v>0</v>
      </c>
      <c r="Q1153" s="9">
        <v>1</v>
      </c>
      <c r="R1153" s="9">
        <v>1</v>
      </c>
      <c r="S1153" s="9">
        <v>1</v>
      </c>
      <c r="T1153" s="9">
        <v>1</v>
      </c>
      <c r="U1153" s="9">
        <v>0</v>
      </c>
      <c r="V1153" s="9">
        <v>1</v>
      </c>
      <c r="W1153" s="9">
        <v>0</v>
      </c>
      <c r="X1153" s="1">
        <f t="shared" si="9"/>
        <v>10</v>
      </c>
    </row>
    <row r="1154" spans="2:24" ht="13.2" x14ac:dyDescent="0.25">
      <c r="B1154" s="108" t="s">
        <v>156</v>
      </c>
      <c r="C1154" s="9">
        <v>2018</v>
      </c>
      <c r="D1154" s="9">
        <v>1</v>
      </c>
      <c r="E1154" s="9">
        <v>1</v>
      </c>
      <c r="F1154" s="9">
        <v>0</v>
      </c>
      <c r="G1154" s="9">
        <v>1</v>
      </c>
      <c r="H1154" s="9">
        <v>1</v>
      </c>
      <c r="I1154" s="9">
        <v>1</v>
      </c>
      <c r="J1154" s="9">
        <v>0</v>
      </c>
      <c r="K1154" s="9">
        <v>0</v>
      </c>
      <c r="L1154" s="9">
        <v>0</v>
      </c>
      <c r="M1154" s="9">
        <v>1</v>
      </c>
      <c r="N1154" s="9">
        <v>1</v>
      </c>
      <c r="O1154" s="9">
        <v>1</v>
      </c>
      <c r="P1154" s="9">
        <v>1</v>
      </c>
      <c r="Q1154" s="9">
        <v>0</v>
      </c>
      <c r="R1154" s="9">
        <v>1</v>
      </c>
      <c r="S1154" s="9">
        <v>1</v>
      </c>
      <c r="T1154" s="9">
        <v>0</v>
      </c>
      <c r="U1154" s="9">
        <v>1</v>
      </c>
      <c r="V1154" s="9">
        <v>1</v>
      </c>
      <c r="W1154" s="9">
        <v>0</v>
      </c>
      <c r="X1154" s="1">
        <f t="shared" si="9"/>
        <v>13</v>
      </c>
    </row>
    <row r="1155" spans="2:24" ht="13.2" x14ac:dyDescent="0.25">
      <c r="B1155" s="109"/>
      <c r="C1155" s="9">
        <v>2019</v>
      </c>
      <c r="D1155" s="9">
        <v>1</v>
      </c>
      <c r="E1155" s="9">
        <v>1</v>
      </c>
      <c r="F1155" s="9">
        <v>0</v>
      </c>
      <c r="G1155" s="9">
        <v>1</v>
      </c>
      <c r="H1155" s="9">
        <v>0</v>
      </c>
      <c r="I1155" s="9">
        <v>1</v>
      </c>
      <c r="J1155" s="9">
        <v>0</v>
      </c>
      <c r="K1155" s="9">
        <v>0</v>
      </c>
      <c r="L1155" s="9">
        <v>0</v>
      </c>
      <c r="M1155" s="9">
        <v>1</v>
      </c>
      <c r="N1155" s="9">
        <v>0</v>
      </c>
      <c r="O1155" s="9">
        <v>1</v>
      </c>
      <c r="P1155" s="9">
        <v>0</v>
      </c>
      <c r="Q1155" s="9">
        <v>1</v>
      </c>
      <c r="R1155" s="9">
        <v>0</v>
      </c>
      <c r="S1155" s="9">
        <v>1</v>
      </c>
      <c r="T1155" s="9">
        <v>0</v>
      </c>
      <c r="U1155" s="9">
        <v>1</v>
      </c>
      <c r="V1155" s="9">
        <v>0</v>
      </c>
      <c r="W1155" s="9">
        <v>0</v>
      </c>
      <c r="X1155" s="1">
        <f t="shared" si="9"/>
        <v>9</v>
      </c>
    </row>
    <row r="1156" spans="2:24" ht="13.2" x14ac:dyDescent="0.25">
      <c r="B1156" s="109"/>
      <c r="C1156" s="9">
        <v>2020</v>
      </c>
      <c r="D1156" s="9">
        <v>1</v>
      </c>
      <c r="E1156" s="9">
        <v>0</v>
      </c>
      <c r="F1156" s="9">
        <v>1</v>
      </c>
      <c r="G1156" s="9">
        <v>0</v>
      </c>
      <c r="H1156" s="9">
        <v>1</v>
      </c>
      <c r="I1156" s="9">
        <v>1</v>
      </c>
      <c r="J1156" s="9">
        <v>1</v>
      </c>
      <c r="K1156" s="9">
        <v>1</v>
      </c>
      <c r="L1156" s="9">
        <v>0</v>
      </c>
      <c r="M1156" s="9">
        <v>0</v>
      </c>
      <c r="N1156" s="9">
        <v>1</v>
      </c>
      <c r="O1156" s="9">
        <v>0</v>
      </c>
      <c r="P1156" s="9">
        <v>0</v>
      </c>
      <c r="Q1156" s="9">
        <v>1</v>
      </c>
      <c r="R1156" s="9">
        <v>0</v>
      </c>
      <c r="S1156" s="9">
        <v>0</v>
      </c>
      <c r="T1156" s="9">
        <v>0</v>
      </c>
      <c r="U1156" s="9">
        <v>1</v>
      </c>
      <c r="V1156" s="9">
        <v>0</v>
      </c>
      <c r="W1156" s="9">
        <v>0</v>
      </c>
      <c r="X1156" s="1">
        <f t="shared" si="9"/>
        <v>9</v>
      </c>
    </row>
    <row r="1157" spans="2:24" ht="13.2" x14ac:dyDescent="0.25">
      <c r="B1157" s="109"/>
      <c r="C1157" s="9">
        <v>2021</v>
      </c>
      <c r="D1157" s="9">
        <v>0</v>
      </c>
      <c r="E1157" s="9">
        <v>1</v>
      </c>
      <c r="F1157" s="9">
        <v>1</v>
      </c>
      <c r="G1157" s="9">
        <v>1</v>
      </c>
      <c r="H1157" s="9">
        <v>0</v>
      </c>
      <c r="I1157" s="9">
        <v>1</v>
      </c>
      <c r="J1157" s="9">
        <v>0</v>
      </c>
      <c r="K1157" s="9">
        <v>1</v>
      </c>
      <c r="L1157" s="9">
        <v>1</v>
      </c>
      <c r="M1157" s="9">
        <v>1</v>
      </c>
      <c r="N1157" s="9">
        <v>0</v>
      </c>
      <c r="O1157" s="9">
        <v>0</v>
      </c>
      <c r="P1157" s="9">
        <v>0</v>
      </c>
      <c r="Q1157" s="9">
        <v>1</v>
      </c>
      <c r="R1157" s="9">
        <v>0</v>
      </c>
      <c r="S1157" s="9">
        <v>1</v>
      </c>
      <c r="T1157" s="9">
        <v>0</v>
      </c>
      <c r="U1157" s="9">
        <v>0</v>
      </c>
      <c r="V1157" s="9">
        <v>0</v>
      </c>
      <c r="W1157" s="9">
        <v>0</v>
      </c>
      <c r="X1157" s="1">
        <f t="shared" si="9"/>
        <v>9</v>
      </c>
    </row>
    <row r="1158" spans="2:24" ht="13.2" x14ac:dyDescent="0.25">
      <c r="B1158" s="110"/>
      <c r="C1158" s="9">
        <v>2022</v>
      </c>
      <c r="D1158" s="9">
        <v>1</v>
      </c>
      <c r="E1158" s="9">
        <v>0</v>
      </c>
      <c r="F1158" s="9">
        <v>0</v>
      </c>
      <c r="G1158" s="9">
        <v>0</v>
      </c>
      <c r="H1158" s="9">
        <v>1</v>
      </c>
      <c r="I1158" s="9">
        <v>1</v>
      </c>
      <c r="J1158" s="9">
        <v>1</v>
      </c>
      <c r="K1158" s="9">
        <v>0</v>
      </c>
      <c r="L1158" s="9">
        <v>0</v>
      </c>
      <c r="M1158" s="9">
        <v>0</v>
      </c>
      <c r="N1158" s="9">
        <v>0</v>
      </c>
      <c r="O1158" s="9">
        <v>1</v>
      </c>
      <c r="P1158" s="9">
        <v>1</v>
      </c>
      <c r="Q1158" s="9">
        <v>0</v>
      </c>
      <c r="R1158" s="9">
        <v>1</v>
      </c>
      <c r="S1158" s="9">
        <v>1</v>
      </c>
      <c r="T1158" s="9">
        <v>1</v>
      </c>
      <c r="U1158" s="9">
        <v>1</v>
      </c>
      <c r="V1158" s="9">
        <v>0</v>
      </c>
      <c r="W1158" s="9">
        <v>1</v>
      </c>
      <c r="X1158" s="1">
        <f t="shared" si="9"/>
        <v>11</v>
      </c>
    </row>
    <row r="1159" spans="2:24" ht="13.2" x14ac:dyDescent="0.25">
      <c r="B1159" s="108" t="s">
        <v>162</v>
      </c>
      <c r="C1159" s="9">
        <v>2018</v>
      </c>
      <c r="D1159" s="9">
        <v>1</v>
      </c>
      <c r="E1159" s="9">
        <v>1</v>
      </c>
      <c r="F1159" s="9">
        <v>0</v>
      </c>
      <c r="G1159" s="9">
        <v>1</v>
      </c>
      <c r="H1159" s="9">
        <v>0</v>
      </c>
      <c r="I1159" s="9">
        <v>0</v>
      </c>
      <c r="J1159" s="9">
        <v>0</v>
      </c>
      <c r="K1159" s="9">
        <v>1</v>
      </c>
      <c r="L1159" s="9">
        <v>0</v>
      </c>
      <c r="M1159" s="9">
        <v>0</v>
      </c>
      <c r="N1159" s="9">
        <v>1</v>
      </c>
      <c r="O1159" s="9">
        <v>0</v>
      </c>
      <c r="P1159" s="9">
        <v>1</v>
      </c>
      <c r="Q1159" s="9">
        <v>0</v>
      </c>
      <c r="R1159" s="9">
        <v>0</v>
      </c>
      <c r="S1159" s="9">
        <v>0</v>
      </c>
      <c r="T1159" s="9">
        <v>0</v>
      </c>
      <c r="U1159" s="9">
        <v>1</v>
      </c>
      <c r="V1159" s="9">
        <v>1</v>
      </c>
      <c r="W1159" s="9">
        <v>1</v>
      </c>
      <c r="X1159" s="1">
        <f t="shared" si="9"/>
        <v>9</v>
      </c>
    </row>
    <row r="1160" spans="2:24" ht="13.2" x14ac:dyDescent="0.25">
      <c r="B1160" s="109"/>
      <c r="C1160" s="9">
        <v>2019</v>
      </c>
      <c r="D1160" s="9">
        <v>1</v>
      </c>
      <c r="E1160" s="9">
        <v>0</v>
      </c>
      <c r="F1160" s="9">
        <v>0</v>
      </c>
      <c r="G1160" s="9">
        <v>1</v>
      </c>
      <c r="H1160" s="9">
        <v>0</v>
      </c>
      <c r="I1160" s="9">
        <v>0</v>
      </c>
      <c r="J1160" s="9">
        <v>1</v>
      </c>
      <c r="K1160" s="9">
        <v>0</v>
      </c>
      <c r="L1160" s="9">
        <v>1</v>
      </c>
      <c r="M1160" s="9">
        <v>0</v>
      </c>
      <c r="N1160" s="9">
        <v>0</v>
      </c>
      <c r="O1160" s="9">
        <v>0</v>
      </c>
      <c r="P1160" s="9">
        <v>0</v>
      </c>
      <c r="Q1160" s="9">
        <v>0</v>
      </c>
      <c r="R1160" s="9">
        <v>0</v>
      </c>
      <c r="S1160" s="9">
        <v>0</v>
      </c>
      <c r="T1160" s="9">
        <v>0</v>
      </c>
      <c r="U1160" s="9">
        <v>0</v>
      </c>
      <c r="V1160" s="9">
        <v>1</v>
      </c>
      <c r="W1160" s="9">
        <v>0</v>
      </c>
      <c r="X1160" s="1">
        <f t="shared" si="9"/>
        <v>5</v>
      </c>
    </row>
    <row r="1161" spans="2:24" ht="13.2" x14ac:dyDescent="0.25">
      <c r="B1161" s="109"/>
      <c r="C1161" s="9">
        <v>2020</v>
      </c>
      <c r="D1161" s="9">
        <v>1</v>
      </c>
      <c r="E1161" s="9">
        <v>1</v>
      </c>
      <c r="F1161" s="9">
        <v>1</v>
      </c>
      <c r="G1161" s="9">
        <v>0</v>
      </c>
      <c r="H1161" s="9">
        <v>1</v>
      </c>
      <c r="I1161" s="9">
        <v>0</v>
      </c>
      <c r="J1161" s="9">
        <v>1</v>
      </c>
      <c r="K1161" s="9">
        <v>1</v>
      </c>
      <c r="L1161" s="9">
        <v>0</v>
      </c>
      <c r="M1161" s="9">
        <v>0</v>
      </c>
      <c r="N1161" s="9">
        <v>1</v>
      </c>
      <c r="O1161" s="9">
        <v>1</v>
      </c>
      <c r="P1161" s="9">
        <v>1</v>
      </c>
      <c r="Q1161" s="9">
        <v>1</v>
      </c>
      <c r="R1161" s="9">
        <v>0</v>
      </c>
      <c r="S1161" s="9">
        <v>1</v>
      </c>
      <c r="T1161" s="9">
        <v>1</v>
      </c>
      <c r="U1161" s="9">
        <v>0</v>
      </c>
      <c r="V1161" s="9">
        <v>0</v>
      </c>
      <c r="W1161" s="9">
        <v>0</v>
      </c>
      <c r="X1161" s="1">
        <f t="shared" si="9"/>
        <v>12</v>
      </c>
    </row>
    <row r="1162" spans="2:24" ht="13.2" x14ac:dyDescent="0.25">
      <c r="B1162" s="109"/>
      <c r="C1162" s="9">
        <v>2021</v>
      </c>
      <c r="D1162" s="9">
        <v>0</v>
      </c>
      <c r="E1162" s="9">
        <v>0</v>
      </c>
      <c r="F1162" s="9">
        <v>1</v>
      </c>
      <c r="G1162" s="9">
        <v>0</v>
      </c>
      <c r="H1162" s="9">
        <v>1</v>
      </c>
      <c r="I1162" s="9">
        <v>0</v>
      </c>
      <c r="J1162" s="9">
        <v>0</v>
      </c>
      <c r="K1162" s="9">
        <v>0</v>
      </c>
      <c r="L1162" s="9">
        <v>0</v>
      </c>
      <c r="M1162" s="9">
        <v>1</v>
      </c>
      <c r="N1162" s="9">
        <v>1</v>
      </c>
      <c r="O1162" s="9">
        <v>0</v>
      </c>
      <c r="P1162" s="9">
        <v>0</v>
      </c>
      <c r="Q1162" s="9">
        <v>0</v>
      </c>
      <c r="R1162" s="9">
        <v>0</v>
      </c>
      <c r="S1162" s="9">
        <v>1</v>
      </c>
      <c r="T1162" s="9">
        <v>0</v>
      </c>
      <c r="U1162" s="9">
        <v>1</v>
      </c>
      <c r="V1162" s="9">
        <v>1</v>
      </c>
      <c r="W1162" s="9">
        <v>1</v>
      </c>
      <c r="X1162" s="1">
        <f t="shared" si="9"/>
        <v>8</v>
      </c>
    </row>
    <row r="1163" spans="2:24" ht="13.2" x14ac:dyDescent="0.25">
      <c r="B1163" s="110"/>
      <c r="C1163" s="9">
        <v>2022</v>
      </c>
      <c r="D1163" s="9">
        <v>0</v>
      </c>
      <c r="E1163" s="9">
        <v>1</v>
      </c>
      <c r="F1163" s="9">
        <v>0</v>
      </c>
      <c r="G1163" s="9">
        <v>0</v>
      </c>
      <c r="H1163" s="9">
        <v>1</v>
      </c>
      <c r="I1163" s="9">
        <v>1</v>
      </c>
      <c r="J1163" s="9">
        <v>1</v>
      </c>
      <c r="K1163" s="9">
        <v>0</v>
      </c>
      <c r="L1163" s="9">
        <v>0</v>
      </c>
      <c r="M1163" s="9">
        <v>0</v>
      </c>
      <c r="N1163" s="9">
        <v>0</v>
      </c>
      <c r="O1163" s="9">
        <v>0</v>
      </c>
      <c r="P1163" s="9">
        <v>1</v>
      </c>
      <c r="Q1163" s="9">
        <v>1</v>
      </c>
      <c r="R1163" s="9">
        <v>1</v>
      </c>
      <c r="S1163" s="9">
        <v>0</v>
      </c>
      <c r="T1163" s="9">
        <v>1</v>
      </c>
      <c r="U1163" s="9">
        <v>0</v>
      </c>
      <c r="V1163" s="9">
        <v>0</v>
      </c>
      <c r="W1163" s="9">
        <v>1</v>
      </c>
      <c r="X1163" s="1">
        <f t="shared" si="9"/>
        <v>9</v>
      </c>
    </row>
    <row r="1164" spans="2:24" ht="13.2" x14ac:dyDescent="0.25">
      <c r="B1164" s="108" t="s">
        <v>168</v>
      </c>
      <c r="C1164" s="9">
        <v>2018</v>
      </c>
      <c r="D1164" s="9">
        <v>1</v>
      </c>
      <c r="E1164" s="9">
        <v>1</v>
      </c>
      <c r="F1164" s="9">
        <v>0</v>
      </c>
      <c r="G1164" s="9">
        <v>0</v>
      </c>
      <c r="H1164" s="9">
        <v>0</v>
      </c>
      <c r="I1164" s="9">
        <v>1</v>
      </c>
      <c r="J1164" s="9">
        <v>1</v>
      </c>
      <c r="K1164" s="9">
        <v>1</v>
      </c>
      <c r="L1164" s="9">
        <v>0</v>
      </c>
      <c r="M1164" s="9">
        <v>1</v>
      </c>
      <c r="N1164" s="9">
        <v>1</v>
      </c>
      <c r="O1164" s="9">
        <v>0</v>
      </c>
      <c r="P1164" s="9">
        <v>0</v>
      </c>
      <c r="Q1164" s="9">
        <v>0</v>
      </c>
      <c r="R1164" s="9">
        <v>0</v>
      </c>
      <c r="S1164" s="9">
        <v>1</v>
      </c>
      <c r="T1164" s="9">
        <v>1</v>
      </c>
      <c r="U1164" s="9">
        <v>1</v>
      </c>
      <c r="V1164" s="9">
        <v>0</v>
      </c>
      <c r="W1164" s="9">
        <v>0</v>
      </c>
      <c r="X1164" s="1">
        <f t="shared" si="9"/>
        <v>10</v>
      </c>
    </row>
    <row r="1165" spans="2:24" ht="13.2" x14ac:dyDescent="0.25">
      <c r="B1165" s="109"/>
      <c r="C1165" s="9">
        <v>2019</v>
      </c>
      <c r="D1165" s="9">
        <v>1</v>
      </c>
      <c r="E1165" s="9">
        <v>1</v>
      </c>
      <c r="F1165" s="9">
        <v>0</v>
      </c>
      <c r="G1165" s="9">
        <v>1</v>
      </c>
      <c r="H1165" s="9">
        <v>0</v>
      </c>
      <c r="I1165" s="9">
        <v>0</v>
      </c>
      <c r="J1165" s="9">
        <v>0</v>
      </c>
      <c r="K1165" s="9">
        <v>0</v>
      </c>
      <c r="L1165" s="9">
        <v>0</v>
      </c>
      <c r="M1165" s="9">
        <v>0</v>
      </c>
      <c r="N1165" s="9">
        <v>1</v>
      </c>
      <c r="O1165" s="9">
        <v>0</v>
      </c>
      <c r="P1165" s="9">
        <v>0</v>
      </c>
      <c r="Q1165" s="9">
        <v>0</v>
      </c>
      <c r="R1165" s="9">
        <v>0</v>
      </c>
      <c r="S1165" s="9">
        <v>1</v>
      </c>
      <c r="T1165" s="9">
        <v>0</v>
      </c>
      <c r="U1165" s="9">
        <v>1</v>
      </c>
      <c r="V1165" s="9">
        <v>1</v>
      </c>
      <c r="W1165" s="9">
        <v>1</v>
      </c>
      <c r="X1165" s="1">
        <f t="shared" si="9"/>
        <v>8</v>
      </c>
    </row>
    <row r="1166" spans="2:24" ht="13.2" x14ac:dyDescent="0.25">
      <c r="B1166" s="109"/>
      <c r="C1166" s="9">
        <v>2020</v>
      </c>
      <c r="D1166" s="9">
        <v>1</v>
      </c>
      <c r="E1166" s="9">
        <v>1</v>
      </c>
      <c r="F1166" s="9">
        <v>0</v>
      </c>
      <c r="G1166" s="9">
        <v>0</v>
      </c>
      <c r="H1166" s="9">
        <v>0</v>
      </c>
      <c r="I1166" s="9">
        <v>1</v>
      </c>
      <c r="J1166" s="9">
        <v>1</v>
      </c>
      <c r="K1166" s="9">
        <v>1</v>
      </c>
      <c r="L1166" s="9">
        <v>1</v>
      </c>
      <c r="M1166" s="9">
        <v>1</v>
      </c>
      <c r="N1166" s="9">
        <v>1</v>
      </c>
      <c r="O1166" s="9">
        <v>0</v>
      </c>
      <c r="P1166" s="9">
        <v>1</v>
      </c>
      <c r="Q1166" s="9">
        <v>1</v>
      </c>
      <c r="R1166" s="9">
        <v>0</v>
      </c>
      <c r="S1166" s="9">
        <v>1</v>
      </c>
      <c r="T1166" s="9">
        <v>0</v>
      </c>
      <c r="U1166" s="9">
        <v>1</v>
      </c>
      <c r="V1166" s="9">
        <v>0</v>
      </c>
      <c r="W1166" s="9">
        <v>0</v>
      </c>
      <c r="X1166" s="1">
        <f t="shared" si="9"/>
        <v>12</v>
      </c>
    </row>
    <row r="1167" spans="2:24" ht="13.2" x14ac:dyDescent="0.25">
      <c r="B1167" s="109"/>
      <c r="C1167" s="9">
        <v>2021</v>
      </c>
      <c r="D1167" s="9">
        <v>0</v>
      </c>
      <c r="E1167" s="9">
        <v>1</v>
      </c>
      <c r="F1167" s="9">
        <v>0</v>
      </c>
      <c r="G1167" s="9">
        <v>1</v>
      </c>
      <c r="H1167" s="9">
        <v>1</v>
      </c>
      <c r="I1167" s="9">
        <v>1</v>
      </c>
      <c r="J1167" s="9">
        <v>0</v>
      </c>
      <c r="K1167" s="9">
        <v>1</v>
      </c>
      <c r="L1167" s="9">
        <v>0</v>
      </c>
      <c r="M1167" s="9">
        <v>0</v>
      </c>
      <c r="N1167" s="9">
        <v>1</v>
      </c>
      <c r="O1167" s="9">
        <v>0</v>
      </c>
      <c r="P1167" s="9">
        <v>1</v>
      </c>
      <c r="Q1167" s="9">
        <v>0</v>
      </c>
      <c r="R1167" s="9">
        <v>0</v>
      </c>
      <c r="S1167" s="9">
        <v>1</v>
      </c>
      <c r="T1167" s="9">
        <v>0</v>
      </c>
      <c r="U1167" s="9">
        <v>1</v>
      </c>
      <c r="V1167" s="9">
        <v>0</v>
      </c>
      <c r="W1167" s="9">
        <v>1</v>
      </c>
      <c r="X1167" s="1">
        <f t="shared" si="9"/>
        <v>10</v>
      </c>
    </row>
    <row r="1168" spans="2:24" ht="13.2" x14ac:dyDescent="0.25">
      <c r="B1168" s="110"/>
      <c r="C1168" s="9">
        <v>2022</v>
      </c>
      <c r="D1168" s="9">
        <v>0</v>
      </c>
      <c r="E1168" s="9">
        <v>1</v>
      </c>
      <c r="F1168" s="9">
        <v>1</v>
      </c>
      <c r="G1168" s="9">
        <v>0</v>
      </c>
      <c r="H1168" s="9">
        <v>1</v>
      </c>
      <c r="I1168" s="9">
        <v>1</v>
      </c>
      <c r="J1168" s="9">
        <v>0</v>
      </c>
      <c r="K1168" s="9">
        <v>1</v>
      </c>
      <c r="L1168" s="9">
        <v>1</v>
      </c>
      <c r="M1168" s="9">
        <v>0</v>
      </c>
      <c r="N1168" s="9">
        <v>0</v>
      </c>
      <c r="O1168" s="9">
        <v>0</v>
      </c>
      <c r="P1168" s="9">
        <v>0</v>
      </c>
      <c r="Q1168" s="9">
        <v>0</v>
      </c>
      <c r="R1168" s="9">
        <v>0</v>
      </c>
      <c r="S1168" s="9">
        <v>1</v>
      </c>
      <c r="T1168" s="9">
        <v>1</v>
      </c>
      <c r="U1168" s="9">
        <v>0</v>
      </c>
      <c r="V1168" s="9">
        <v>1</v>
      </c>
      <c r="W1168" s="9">
        <v>1</v>
      </c>
      <c r="X1168" s="1">
        <f t="shared" si="9"/>
        <v>10</v>
      </c>
    </row>
    <row r="1169" spans="2:24" ht="13.2" x14ac:dyDescent="0.25">
      <c r="B1169" s="108" t="s">
        <v>173</v>
      </c>
      <c r="C1169" s="9">
        <v>2018</v>
      </c>
      <c r="D1169" s="9">
        <v>0</v>
      </c>
      <c r="E1169" s="9">
        <v>0</v>
      </c>
      <c r="F1169" s="9">
        <v>0</v>
      </c>
      <c r="G1169" s="9">
        <v>1</v>
      </c>
      <c r="H1169" s="9">
        <v>1</v>
      </c>
      <c r="I1169" s="9">
        <v>0</v>
      </c>
      <c r="J1169" s="9">
        <v>1</v>
      </c>
      <c r="K1169" s="9">
        <v>0</v>
      </c>
      <c r="L1169" s="9">
        <v>1</v>
      </c>
      <c r="M1169" s="9">
        <v>0</v>
      </c>
      <c r="N1169" s="9">
        <v>0</v>
      </c>
      <c r="O1169" s="9">
        <v>0</v>
      </c>
      <c r="P1169" s="9">
        <v>0</v>
      </c>
      <c r="Q1169" s="9">
        <v>0</v>
      </c>
      <c r="R1169" s="9">
        <v>0</v>
      </c>
      <c r="S1169" s="9">
        <v>0</v>
      </c>
      <c r="T1169" s="9">
        <v>0</v>
      </c>
      <c r="U1169" s="9">
        <v>0</v>
      </c>
      <c r="V1169" s="9">
        <v>0</v>
      </c>
      <c r="W1169" s="9">
        <v>0</v>
      </c>
      <c r="X1169" s="1">
        <f t="shared" si="9"/>
        <v>4</v>
      </c>
    </row>
    <row r="1170" spans="2:24" ht="13.2" x14ac:dyDescent="0.25">
      <c r="B1170" s="109"/>
      <c r="C1170" s="9">
        <v>2019</v>
      </c>
      <c r="D1170" s="9">
        <v>0</v>
      </c>
      <c r="E1170" s="9">
        <v>1</v>
      </c>
      <c r="F1170" s="9">
        <v>1</v>
      </c>
      <c r="G1170" s="9">
        <v>1</v>
      </c>
      <c r="H1170" s="9">
        <v>0</v>
      </c>
      <c r="I1170" s="9">
        <v>1</v>
      </c>
      <c r="J1170" s="9">
        <v>1</v>
      </c>
      <c r="K1170" s="9">
        <v>1</v>
      </c>
      <c r="L1170" s="9">
        <v>1</v>
      </c>
      <c r="M1170" s="9">
        <v>1</v>
      </c>
      <c r="N1170" s="9">
        <v>1</v>
      </c>
      <c r="O1170" s="9">
        <v>1</v>
      </c>
      <c r="P1170" s="9">
        <v>0</v>
      </c>
      <c r="Q1170" s="9">
        <v>0</v>
      </c>
      <c r="R1170" s="9">
        <v>0</v>
      </c>
      <c r="S1170" s="9">
        <v>1</v>
      </c>
      <c r="T1170" s="9">
        <v>1</v>
      </c>
      <c r="U1170" s="9">
        <v>1</v>
      </c>
      <c r="V1170" s="9">
        <v>1</v>
      </c>
      <c r="W1170" s="9">
        <v>1</v>
      </c>
      <c r="X1170" s="1">
        <f t="shared" si="9"/>
        <v>15</v>
      </c>
    </row>
    <row r="1171" spans="2:24" ht="13.2" x14ac:dyDescent="0.25">
      <c r="B1171" s="109"/>
      <c r="C1171" s="9">
        <v>2020</v>
      </c>
      <c r="D1171" s="9">
        <v>0</v>
      </c>
      <c r="E1171" s="9">
        <v>0</v>
      </c>
      <c r="F1171" s="9">
        <v>0</v>
      </c>
      <c r="G1171" s="9">
        <v>0</v>
      </c>
      <c r="H1171" s="9">
        <v>0</v>
      </c>
      <c r="I1171" s="9">
        <v>0</v>
      </c>
      <c r="J1171" s="9">
        <v>1</v>
      </c>
      <c r="K1171" s="9">
        <v>0</v>
      </c>
      <c r="L1171" s="9">
        <v>0</v>
      </c>
      <c r="M1171" s="9">
        <v>0</v>
      </c>
      <c r="N1171" s="9">
        <v>0</v>
      </c>
      <c r="O1171" s="9">
        <v>1</v>
      </c>
      <c r="P1171" s="9">
        <v>1</v>
      </c>
      <c r="Q1171" s="9">
        <v>1</v>
      </c>
      <c r="R1171" s="9">
        <v>1</v>
      </c>
      <c r="S1171" s="9">
        <v>0</v>
      </c>
      <c r="T1171" s="9">
        <v>1</v>
      </c>
      <c r="U1171" s="9">
        <v>1</v>
      </c>
      <c r="V1171" s="9">
        <v>0</v>
      </c>
      <c r="W1171" s="9">
        <v>0</v>
      </c>
      <c r="X1171" s="1">
        <f t="shared" si="9"/>
        <v>7</v>
      </c>
    </row>
    <row r="1172" spans="2:24" ht="13.2" x14ac:dyDescent="0.25">
      <c r="B1172" s="109"/>
      <c r="C1172" s="9">
        <v>2021</v>
      </c>
      <c r="D1172" s="9">
        <v>1</v>
      </c>
      <c r="E1172" s="9">
        <v>0</v>
      </c>
      <c r="F1172" s="9">
        <v>1</v>
      </c>
      <c r="G1172" s="9">
        <v>0</v>
      </c>
      <c r="H1172" s="9">
        <v>1</v>
      </c>
      <c r="I1172" s="9">
        <v>0</v>
      </c>
      <c r="J1172" s="9">
        <v>1</v>
      </c>
      <c r="K1172" s="9">
        <v>1</v>
      </c>
      <c r="L1172" s="9">
        <v>0</v>
      </c>
      <c r="M1172" s="9">
        <v>0</v>
      </c>
      <c r="N1172" s="9">
        <v>0</v>
      </c>
      <c r="O1172" s="9">
        <v>1</v>
      </c>
      <c r="P1172" s="9">
        <v>1</v>
      </c>
      <c r="Q1172" s="9">
        <v>0</v>
      </c>
      <c r="R1172" s="9">
        <v>0</v>
      </c>
      <c r="S1172" s="9">
        <v>0</v>
      </c>
      <c r="T1172" s="9">
        <v>0</v>
      </c>
      <c r="U1172" s="9">
        <v>1</v>
      </c>
      <c r="V1172" s="9">
        <v>1</v>
      </c>
      <c r="W1172" s="9">
        <v>1</v>
      </c>
      <c r="X1172" s="1">
        <f t="shared" si="9"/>
        <v>10</v>
      </c>
    </row>
    <row r="1173" spans="2:24" ht="13.2" x14ac:dyDescent="0.25">
      <c r="B1173" s="110"/>
      <c r="C1173" s="9">
        <v>2022</v>
      </c>
      <c r="D1173" s="9">
        <v>1</v>
      </c>
      <c r="E1173" s="9">
        <v>0</v>
      </c>
      <c r="F1173" s="9">
        <v>1</v>
      </c>
      <c r="G1173" s="9">
        <v>1</v>
      </c>
      <c r="H1173" s="9">
        <v>0</v>
      </c>
      <c r="I1173" s="9">
        <v>1</v>
      </c>
      <c r="J1173" s="9">
        <v>1</v>
      </c>
      <c r="K1173" s="9">
        <v>0</v>
      </c>
      <c r="L1173" s="9">
        <v>0</v>
      </c>
      <c r="M1173" s="9">
        <v>0</v>
      </c>
      <c r="N1173" s="9">
        <v>0</v>
      </c>
      <c r="O1173" s="9">
        <v>1</v>
      </c>
      <c r="P1173" s="9">
        <v>1</v>
      </c>
      <c r="Q1173" s="9">
        <v>1</v>
      </c>
      <c r="R1173" s="9">
        <v>1</v>
      </c>
      <c r="S1173" s="9">
        <v>0</v>
      </c>
      <c r="T1173" s="9">
        <v>1</v>
      </c>
      <c r="U1173" s="9">
        <v>1</v>
      </c>
      <c r="V1173" s="9">
        <v>1</v>
      </c>
      <c r="W1173" s="9">
        <v>0</v>
      </c>
      <c r="X1173" s="1">
        <f t="shared" si="9"/>
        <v>12</v>
      </c>
    </row>
    <row r="1174" spans="2:24" ht="13.2" x14ac:dyDescent="0.25">
      <c r="B1174" s="108" t="s">
        <v>174</v>
      </c>
      <c r="C1174" s="9">
        <v>2018</v>
      </c>
      <c r="D1174" s="9">
        <v>1</v>
      </c>
      <c r="E1174" s="9">
        <v>1</v>
      </c>
      <c r="F1174" s="9">
        <v>1</v>
      </c>
      <c r="G1174" s="9">
        <v>0</v>
      </c>
      <c r="H1174" s="9">
        <v>1</v>
      </c>
      <c r="I1174" s="9">
        <v>0</v>
      </c>
      <c r="J1174" s="9">
        <v>1</v>
      </c>
      <c r="K1174" s="9">
        <v>0</v>
      </c>
      <c r="L1174" s="9">
        <v>1</v>
      </c>
      <c r="M1174" s="9">
        <v>0</v>
      </c>
      <c r="N1174" s="9">
        <v>1</v>
      </c>
      <c r="O1174" s="9">
        <v>0</v>
      </c>
      <c r="P1174" s="9">
        <v>0</v>
      </c>
      <c r="Q1174" s="9">
        <v>0</v>
      </c>
      <c r="R1174" s="9">
        <v>1</v>
      </c>
      <c r="S1174" s="9">
        <v>1</v>
      </c>
      <c r="T1174" s="9">
        <v>0</v>
      </c>
      <c r="U1174" s="9">
        <v>0</v>
      </c>
      <c r="V1174" s="9">
        <v>0</v>
      </c>
      <c r="W1174" s="9">
        <v>1</v>
      </c>
      <c r="X1174" s="1">
        <f t="shared" si="9"/>
        <v>10</v>
      </c>
    </row>
    <row r="1175" spans="2:24" ht="13.2" x14ac:dyDescent="0.25">
      <c r="B1175" s="109"/>
      <c r="C1175" s="9">
        <v>2019</v>
      </c>
      <c r="D1175" s="9">
        <v>0</v>
      </c>
      <c r="E1175" s="9">
        <v>1</v>
      </c>
      <c r="F1175" s="9">
        <v>1</v>
      </c>
      <c r="G1175" s="9">
        <v>1</v>
      </c>
      <c r="H1175" s="9">
        <v>1</v>
      </c>
      <c r="I1175" s="9">
        <v>0</v>
      </c>
      <c r="J1175" s="9">
        <v>0</v>
      </c>
      <c r="K1175" s="9">
        <v>1</v>
      </c>
      <c r="L1175" s="9">
        <v>0</v>
      </c>
      <c r="M1175" s="9">
        <v>0</v>
      </c>
      <c r="N1175" s="9">
        <v>1</v>
      </c>
      <c r="O1175" s="9">
        <v>1</v>
      </c>
      <c r="P1175" s="9">
        <v>0</v>
      </c>
      <c r="Q1175" s="9">
        <v>0</v>
      </c>
      <c r="R1175" s="9">
        <v>1</v>
      </c>
      <c r="S1175" s="9">
        <v>0</v>
      </c>
      <c r="T1175" s="9">
        <v>0</v>
      </c>
      <c r="U1175" s="9">
        <v>0</v>
      </c>
      <c r="V1175" s="9">
        <v>1</v>
      </c>
      <c r="W1175" s="9">
        <v>0</v>
      </c>
      <c r="X1175" s="1">
        <f t="shared" si="9"/>
        <v>9</v>
      </c>
    </row>
    <row r="1176" spans="2:24" ht="13.2" x14ac:dyDescent="0.25">
      <c r="B1176" s="109"/>
      <c r="C1176" s="9">
        <v>2020</v>
      </c>
      <c r="D1176" s="9">
        <v>1</v>
      </c>
      <c r="E1176" s="9">
        <v>1</v>
      </c>
      <c r="F1176" s="9">
        <v>1</v>
      </c>
      <c r="G1176" s="9">
        <v>1</v>
      </c>
      <c r="H1176" s="9">
        <v>0</v>
      </c>
      <c r="I1176" s="9">
        <v>0</v>
      </c>
      <c r="J1176" s="9">
        <v>0</v>
      </c>
      <c r="K1176" s="9">
        <v>0</v>
      </c>
      <c r="L1176" s="9">
        <v>1</v>
      </c>
      <c r="M1176" s="9">
        <v>0</v>
      </c>
      <c r="N1176" s="9">
        <v>0</v>
      </c>
      <c r="O1176" s="9">
        <v>0</v>
      </c>
      <c r="P1176" s="9">
        <v>0</v>
      </c>
      <c r="Q1176" s="9">
        <v>0</v>
      </c>
      <c r="R1176" s="9">
        <v>1</v>
      </c>
      <c r="S1176" s="9">
        <v>0</v>
      </c>
      <c r="T1176" s="9">
        <v>0</v>
      </c>
      <c r="U1176" s="9">
        <v>0</v>
      </c>
      <c r="V1176" s="9">
        <v>1</v>
      </c>
      <c r="W1176" s="9">
        <v>1</v>
      </c>
      <c r="X1176" s="1">
        <f t="shared" si="9"/>
        <v>8</v>
      </c>
    </row>
    <row r="1177" spans="2:24" ht="13.2" x14ac:dyDescent="0.25">
      <c r="B1177" s="109"/>
      <c r="C1177" s="9">
        <v>2021</v>
      </c>
      <c r="D1177" s="9">
        <v>1</v>
      </c>
      <c r="E1177" s="9">
        <v>0</v>
      </c>
      <c r="F1177" s="9">
        <v>1</v>
      </c>
      <c r="G1177" s="9">
        <v>1</v>
      </c>
      <c r="H1177" s="9">
        <v>0</v>
      </c>
      <c r="I1177" s="9">
        <v>0</v>
      </c>
      <c r="J1177" s="9">
        <v>0</v>
      </c>
      <c r="K1177" s="9">
        <v>1</v>
      </c>
      <c r="L1177" s="9">
        <v>1</v>
      </c>
      <c r="M1177" s="9">
        <v>1</v>
      </c>
      <c r="N1177" s="9">
        <v>1</v>
      </c>
      <c r="O1177" s="9">
        <v>0</v>
      </c>
      <c r="P1177" s="9">
        <v>1</v>
      </c>
      <c r="Q1177" s="9">
        <v>1</v>
      </c>
      <c r="R1177" s="9">
        <v>0</v>
      </c>
      <c r="S1177" s="9">
        <v>0</v>
      </c>
      <c r="T1177" s="9">
        <v>0</v>
      </c>
      <c r="U1177" s="9">
        <v>1</v>
      </c>
      <c r="V1177" s="9">
        <v>0</v>
      </c>
      <c r="W1177" s="9">
        <v>0</v>
      </c>
      <c r="X1177" s="1">
        <f t="shared" si="9"/>
        <v>10</v>
      </c>
    </row>
    <row r="1178" spans="2:24" ht="13.2" x14ac:dyDescent="0.25">
      <c r="B1178" s="110"/>
      <c r="C1178" s="9">
        <v>2022</v>
      </c>
      <c r="D1178" s="9">
        <v>1</v>
      </c>
      <c r="E1178" s="9">
        <v>0</v>
      </c>
      <c r="F1178" s="9">
        <v>0</v>
      </c>
      <c r="G1178" s="9">
        <v>0</v>
      </c>
      <c r="H1178" s="9">
        <v>0</v>
      </c>
      <c r="I1178" s="9">
        <v>1</v>
      </c>
      <c r="J1178" s="9">
        <v>0</v>
      </c>
      <c r="K1178" s="9">
        <v>0</v>
      </c>
      <c r="L1178" s="9">
        <v>1</v>
      </c>
      <c r="M1178" s="9">
        <v>0</v>
      </c>
      <c r="N1178" s="9">
        <v>1</v>
      </c>
      <c r="O1178" s="9">
        <v>1</v>
      </c>
      <c r="P1178" s="9">
        <v>1</v>
      </c>
      <c r="Q1178" s="9">
        <v>1</v>
      </c>
      <c r="R1178" s="9">
        <v>1</v>
      </c>
      <c r="S1178" s="9">
        <v>1</v>
      </c>
      <c r="T1178" s="9">
        <v>0</v>
      </c>
      <c r="U1178" s="9">
        <v>1</v>
      </c>
      <c r="V1178" s="9">
        <v>0</v>
      </c>
      <c r="W1178" s="9">
        <v>1</v>
      </c>
      <c r="X1178" s="1">
        <f t="shared" si="9"/>
        <v>11</v>
      </c>
    </row>
    <row r="1179" spans="2:24" ht="13.2" x14ac:dyDescent="0.25">
      <c r="B1179" s="108" t="s">
        <v>175</v>
      </c>
      <c r="C1179" s="9">
        <v>2018</v>
      </c>
      <c r="D1179" s="9">
        <v>1</v>
      </c>
      <c r="E1179" s="9">
        <v>0</v>
      </c>
      <c r="F1179" s="9">
        <v>0</v>
      </c>
      <c r="G1179" s="9">
        <v>0</v>
      </c>
      <c r="H1179" s="9">
        <v>0</v>
      </c>
      <c r="I1179" s="9">
        <v>0</v>
      </c>
      <c r="J1179" s="9">
        <v>0</v>
      </c>
      <c r="K1179" s="9">
        <v>1</v>
      </c>
      <c r="L1179" s="9">
        <v>0</v>
      </c>
      <c r="M1179" s="9">
        <v>1</v>
      </c>
      <c r="N1179" s="9">
        <v>0</v>
      </c>
      <c r="O1179" s="9">
        <v>1</v>
      </c>
      <c r="P1179" s="9">
        <v>0</v>
      </c>
      <c r="Q1179" s="9">
        <v>1</v>
      </c>
      <c r="R1179" s="9">
        <v>1</v>
      </c>
      <c r="S1179" s="9">
        <v>1</v>
      </c>
      <c r="T1179" s="9">
        <v>0</v>
      </c>
      <c r="U1179" s="9">
        <v>1</v>
      </c>
      <c r="V1179" s="9">
        <v>1</v>
      </c>
      <c r="W1179" s="9">
        <v>0</v>
      </c>
      <c r="X1179" s="1">
        <f t="shared" si="9"/>
        <v>9</v>
      </c>
    </row>
    <row r="1180" spans="2:24" ht="13.2" x14ac:dyDescent="0.25">
      <c r="B1180" s="109"/>
      <c r="C1180" s="9">
        <v>2019</v>
      </c>
      <c r="D1180" s="9">
        <v>0</v>
      </c>
      <c r="E1180" s="9">
        <v>1</v>
      </c>
      <c r="F1180" s="9">
        <v>1</v>
      </c>
      <c r="G1180" s="9">
        <v>0</v>
      </c>
      <c r="H1180" s="9">
        <v>1</v>
      </c>
      <c r="I1180" s="9">
        <v>0</v>
      </c>
      <c r="J1180" s="9">
        <v>1</v>
      </c>
      <c r="K1180" s="9">
        <v>1</v>
      </c>
      <c r="L1180" s="9">
        <v>1</v>
      </c>
      <c r="M1180" s="9">
        <v>0</v>
      </c>
      <c r="N1180" s="9">
        <v>1</v>
      </c>
      <c r="O1180" s="9">
        <v>1</v>
      </c>
      <c r="P1180" s="9">
        <v>1</v>
      </c>
      <c r="Q1180" s="9">
        <v>1</v>
      </c>
      <c r="R1180" s="9">
        <v>0</v>
      </c>
      <c r="S1180" s="9">
        <v>1</v>
      </c>
      <c r="T1180" s="9">
        <v>0</v>
      </c>
      <c r="U1180" s="9">
        <v>0</v>
      </c>
      <c r="V1180" s="9">
        <v>1</v>
      </c>
      <c r="W1180" s="9">
        <v>1</v>
      </c>
      <c r="X1180" s="1">
        <f t="shared" si="9"/>
        <v>13</v>
      </c>
    </row>
    <row r="1181" spans="2:24" ht="13.2" x14ac:dyDescent="0.25">
      <c r="B1181" s="109"/>
      <c r="C1181" s="9">
        <v>2020</v>
      </c>
      <c r="D1181" s="9">
        <v>1</v>
      </c>
      <c r="E1181" s="9">
        <v>1</v>
      </c>
      <c r="F1181" s="9">
        <v>0</v>
      </c>
      <c r="G1181" s="9">
        <v>0</v>
      </c>
      <c r="H1181" s="9">
        <v>0</v>
      </c>
      <c r="I1181" s="9">
        <v>1</v>
      </c>
      <c r="J1181" s="9">
        <v>0</v>
      </c>
      <c r="K1181" s="9">
        <v>1</v>
      </c>
      <c r="L1181" s="9">
        <v>1</v>
      </c>
      <c r="M1181" s="9">
        <v>1</v>
      </c>
      <c r="N1181" s="9">
        <v>1</v>
      </c>
      <c r="O1181" s="9">
        <v>1</v>
      </c>
      <c r="P1181" s="9">
        <v>0</v>
      </c>
      <c r="Q1181" s="9">
        <v>0</v>
      </c>
      <c r="R1181" s="9">
        <v>0</v>
      </c>
      <c r="S1181" s="9">
        <v>1</v>
      </c>
      <c r="T1181" s="9">
        <v>1</v>
      </c>
      <c r="U1181" s="9">
        <v>0</v>
      </c>
      <c r="V1181" s="9">
        <v>1</v>
      </c>
      <c r="W1181" s="9">
        <v>0</v>
      </c>
      <c r="X1181" s="1">
        <f t="shared" si="9"/>
        <v>11</v>
      </c>
    </row>
    <row r="1182" spans="2:24" ht="13.2" x14ac:dyDescent="0.25">
      <c r="B1182" s="109"/>
      <c r="C1182" s="9">
        <v>2021</v>
      </c>
      <c r="D1182" s="9">
        <v>0</v>
      </c>
      <c r="E1182" s="9">
        <v>1</v>
      </c>
      <c r="F1182" s="9">
        <v>0</v>
      </c>
      <c r="G1182" s="9">
        <v>1</v>
      </c>
      <c r="H1182" s="9">
        <v>1</v>
      </c>
      <c r="I1182" s="9">
        <v>1</v>
      </c>
      <c r="J1182" s="9">
        <v>0</v>
      </c>
      <c r="K1182" s="9">
        <v>1</v>
      </c>
      <c r="L1182" s="9">
        <v>0</v>
      </c>
      <c r="M1182" s="9">
        <v>1</v>
      </c>
      <c r="N1182" s="9">
        <v>1</v>
      </c>
      <c r="O1182" s="9">
        <v>0</v>
      </c>
      <c r="P1182" s="9">
        <v>1</v>
      </c>
      <c r="Q1182" s="9">
        <v>0</v>
      </c>
      <c r="R1182" s="9">
        <v>1</v>
      </c>
      <c r="S1182" s="9">
        <v>0</v>
      </c>
      <c r="T1182" s="9">
        <v>1</v>
      </c>
      <c r="U1182" s="9">
        <v>1</v>
      </c>
      <c r="V1182" s="9">
        <v>0</v>
      </c>
      <c r="W1182" s="9">
        <v>0</v>
      </c>
      <c r="X1182" s="1">
        <f t="shared" si="9"/>
        <v>11</v>
      </c>
    </row>
    <row r="1183" spans="2:24" ht="13.2" x14ac:dyDescent="0.25">
      <c r="B1183" s="110"/>
      <c r="C1183" s="9">
        <v>2022</v>
      </c>
      <c r="D1183" s="9">
        <v>1</v>
      </c>
      <c r="E1183" s="9">
        <v>0</v>
      </c>
      <c r="F1183" s="9">
        <v>0</v>
      </c>
      <c r="G1183" s="9">
        <v>0</v>
      </c>
      <c r="H1183" s="9">
        <v>0</v>
      </c>
      <c r="I1183" s="9">
        <v>0</v>
      </c>
      <c r="J1183" s="9">
        <v>1</v>
      </c>
      <c r="K1183" s="9">
        <v>1</v>
      </c>
      <c r="L1183" s="9">
        <v>0</v>
      </c>
      <c r="M1183" s="9">
        <v>1</v>
      </c>
      <c r="N1183" s="9">
        <v>0</v>
      </c>
      <c r="O1183" s="9">
        <v>1</v>
      </c>
      <c r="P1183" s="9">
        <v>1</v>
      </c>
      <c r="Q1183" s="9">
        <v>1</v>
      </c>
      <c r="R1183" s="9">
        <v>0</v>
      </c>
      <c r="S1183" s="9">
        <v>1</v>
      </c>
      <c r="T1183" s="9">
        <v>1</v>
      </c>
      <c r="U1183" s="9">
        <v>0</v>
      </c>
      <c r="V1183" s="9">
        <v>0</v>
      </c>
      <c r="W1183" s="9">
        <v>1</v>
      </c>
      <c r="X1183" s="1">
        <f t="shared" si="9"/>
        <v>10</v>
      </c>
    </row>
    <row r="1184" spans="2:24" ht="13.2" x14ac:dyDescent="0.25">
      <c r="B1184" s="108" t="s">
        <v>176</v>
      </c>
      <c r="C1184" s="9">
        <v>2018</v>
      </c>
      <c r="D1184" s="9">
        <v>0</v>
      </c>
      <c r="E1184" s="9">
        <v>0</v>
      </c>
      <c r="F1184" s="9">
        <v>0</v>
      </c>
      <c r="G1184" s="9">
        <v>0</v>
      </c>
      <c r="H1184" s="9">
        <v>0</v>
      </c>
      <c r="I1184" s="9">
        <v>1</v>
      </c>
      <c r="J1184" s="9">
        <v>0</v>
      </c>
      <c r="K1184" s="9">
        <v>1</v>
      </c>
      <c r="L1184" s="9">
        <v>1</v>
      </c>
      <c r="M1184" s="9">
        <v>1</v>
      </c>
      <c r="N1184" s="9">
        <v>1</v>
      </c>
      <c r="O1184" s="9">
        <v>1</v>
      </c>
      <c r="P1184" s="9">
        <v>1</v>
      </c>
      <c r="Q1184" s="9">
        <v>1</v>
      </c>
      <c r="R1184" s="9">
        <v>1</v>
      </c>
      <c r="S1184" s="9">
        <v>1</v>
      </c>
      <c r="T1184" s="9">
        <v>0</v>
      </c>
      <c r="U1184" s="9">
        <v>1</v>
      </c>
      <c r="V1184" s="9">
        <v>1</v>
      </c>
      <c r="W1184" s="9">
        <v>1</v>
      </c>
      <c r="X1184" s="1">
        <f t="shared" si="9"/>
        <v>13</v>
      </c>
    </row>
    <row r="1185" spans="2:24" ht="13.2" x14ac:dyDescent="0.25">
      <c r="B1185" s="109"/>
      <c r="C1185" s="9">
        <v>2019</v>
      </c>
      <c r="D1185" s="9">
        <v>1</v>
      </c>
      <c r="E1185" s="9">
        <v>1</v>
      </c>
      <c r="F1185" s="9">
        <v>0</v>
      </c>
      <c r="G1185" s="9">
        <v>1</v>
      </c>
      <c r="H1185" s="9">
        <v>1</v>
      </c>
      <c r="I1185" s="9">
        <v>0</v>
      </c>
      <c r="J1185" s="9">
        <v>0</v>
      </c>
      <c r="K1185" s="9">
        <v>1</v>
      </c>
      <c r="L1185" s="9">
        <v>0</v>
      </c>
      <c r="M1185" s="9">
        <v>0</v>
      </c>
      <c r="N1185" s="9">
        <v>0</v>
      </c>
      <c r="O1185" s="9">
        <v>1</v>
      </c>
      <c r="P1185" s="9">
        <v>0</v>
      </c>
      <c r="Q1185" s="9">
        <v>0</v>
      </c>
      <c r="R1185" s="9">
        <v>0</v>
      </c>
      <c r="S1185" s="9">
        <v>1</v>
      </c>
      <c r="T1185" s="9">
        <v>1</v>
      </c>
      <c r="U1185" s="9">
        <v>0</v>
      </c>
      <c r="V1185" s="9">
        <v>1</v>
      </c>
      <c r="W1185" s="9">
        <v>1</v>
      </c>
      <c r="X1185" s="1">
        <f t="shared" si="9"/>
        <v>10</v>
      </c>
    </row>
    <row r="1186" spans="2:24" ht="13.2" x14ac:dyDescent="0.25">
      <c r="B1186" s="109"/>
      <c r="C1186" s="9">
        <v>2020</v>
      </c>
      <c r="D1186" s="9">
        <v>0</v>
      </c>
      <c r="E1186" s="9">
        <v>1</v>
      </c>
      <c r="F1186" s="9">
        <v>1</v>
      </c>
      <c r="G1186" s="9">
        <v>1</v>
      </c>
      <c r="H1186" s="9">
        <v>0</v>
      </c>
      <c r="I1186" s="9">
        <v>0</v>
      </c>
      <c r="J1186" s="9">
        <v>0</v>
      </c>
      <c r="K1186" s="9">
        <v>0</v>
      </c>
      <c r="L1186" s="9">
        <v>1</v>
      </c>
      <c r="M1186" s="9">
        <v>0</v>
      </c>
      <c r="N1186" s="9">
        <v>0</v>
      </c>
      <c r="O1186" s="9">
        <v>1</v>
      </c>
      <c r="P1186" s="9">
        <v>1</v>
      </c>
      <c r="Q1186" s="9">
        <v>1</v>
      </c>
      <c r="R1186" s="9">
        <v>1</v>
      </c>
      <c r="S1186" s="9">
        <v>0</v>
      </c>
      <c r="T1186" s="9">
        <v>1</v>
      </c>
      <c r="U1186" s="9">
        <v>1</v>
      </c>
      <c r="V1186" s="9">
        <v>0</v>
      </c>
      <c r="W1186" s="9">
        <v>0</v>
      </c>
      <c r="X1186" s="1">
        <f t="shared" si="9"/>
        <v>10</v>
      </c>
    </row>
    <row r="1187" spans="2:24" ht="13.2" x14ac:dyDescent="0.25">
      <c r="B1187" s="109"/>
      <c r="C1187" s="9">
        <v>2021</v>
      </c>
      <c r="D1187" s="9">
        <v>1</v>
      </c>
      <c r="E1187" s="9">
        <v>1</v>
      </c>
      <c r="F1187" s="9">
        <v>1</v>
      </c>
      <c r="G1187" s="9">
        <v>0</v>
      </c>
      <c r="H1187" s="9">
        <v>1</v>
      </c>
      <c r="I1187" s="9">
        <v>0</v>
      </c>
      <c r="J1187" s="9">
        <v>1</v>
      </c>
      <c r="K1187" s="9">
        <v>0</v>
      </c>
      <c r="L1187" s="9">
        <v>0</v>
      </c>
      <c r="M1187" s="9">
        <v>1</v>
      </c>
      <c r="N1187" s="9">
        <v>0</v>
      </c>
      <c r="O1187" s="9">
        <v>1</v>
      </c>
      <c r="P1187" s="9">
        <v>0</v>
      </c>
      <c r="Q1187" s="9">
        <v>1</v>
      </c>
      <c r="R1187" s="9">
        <v>0</v>
      </c>
      <c r="S1187" s="9">
        <v>1</v>
      </c>
      <c r="T1187" s="9">
        <v>1</v>
      </c>
      <c r="U1187" s="9">
        <v>0</v>
      </c>
      <c r="V1187" s="9">
        <v>1</v>
      </c>
      <c r="W1187" s="9">
        <v>1</v>
      </c>
      <c r="X1187" s="1">
        <f t="shared" si="9"/>
        <v>12</v>
      </c>
    </row>
    <row r="1188" spans="2:24" ht="13.2" x14ac:dyDescent="0.25">
      <c r="B1188" s="110"/>
      <c r="C1188" s="9">
        <v>2022</v>
      </c>
      <c r="D1188" s="9">
        <v>0</v>
      </c>
      <c r="E1188" s="9">
        <v>1</v>
      </c>
      <c r="F1188" s="9">
        <v>1</v>
      </c>
      <c r="G1188" s="9">
        <v>1</v>
      </c>
      <c r="H1188" s="9">
        <v>0</v>
      </c>
      <c r="I1188" s="9">
        <v>1</v>
      </c>
      <c r="J1188" s="9">
        <v>0</v>
      </c>
      <c r="K1188" s="9">
        <v>0</v>
      </c>
      <c r="L1188" s="9">
        <v>1</v>
      </c>
      <c r="M1188" s="9">
        <v>0</v>
      </c>
      <c r="N1188" s="9">
        <v>1</v>
      </c>
      <c r="O1188" s="9">
        <v>0</v>
      </c>
      <c r="P1188" s="9">
        <v>1</v>
      </c>
      <c r="Q1188" s="9">
        <v>1</v>
      </c>
      <c r="R1188" s="9">
        <v>1</v>
      </c>
      <c r="S1188" s="9">
        <v>0</v>
      </c>
      <c r="T1188" s="9">
        <v>0</v>
      </c>
      <c r="U1188" s="9">
        <v>0</v>
      </c>
      <c r="V1188" s="9">
        <v>1</v>
      </c>
      <c r="W1188" s="9">
        <v>1</v>
      </c>
      <c r="X1188" s="1">
        <f t="shared" si="9"/>
        <v>11</v>
      </c>
    </row>
    <row r="1189" spans="2:24" ht="13.2" x14ac:dyDescent="0.25">
      <c r="B1189" s="108" t="s">
        <v>177</v>
      </c>
      <c r="C1189" s="9">
        <v>2018</v>
      </c>
      <c r="D1189" s="9">
        <v>0</v>
      </c>
      <c r="E1189" s="9">
        <v>0</v>
      </c>
      <c r="F1189" s="9">
        <v>0</v>
      </c>
      <c r="G1189" s="9">
        <v>1</v>
      </c>
      <c r="H1189" s="9">
        <v>0</v>
      </c>
      <c r="I1189" s="9">
        <v>1</v>
      </c>
      <c r="J1189" s="9">
        <v>1</v>
      </c>
      <c r="K1189" s="9">
        <v>1</v>
      </c>
      <c r="L1189" s="9">
        <v>1</v>
      </c>
      <c r="M1189" s="9">
        <v>0</v>
      </c>
      <c r="N1189" s="9">
        <v>0</v>
      </c>
      <c r="O1189" s="9">
        <v>0</v>
      </c>
      <c r="P1189" s="9">
        <v>1</v>
      </c>
      <c r="Q1189" s="9">
        <v>1</v>
      </c>
      <c r="R1189" s="9">
        <v>0</v>
      </c>
      <c r="S1189" s="9">
        <v>1</v>
      </c>
      <c r="T1189" s="9">
        <v>0</v>
      </c>
      <c r="U1189" s="9">
        <v>1</v>
      </c>
      <c r="V1189" s="9">
        <v>1</v>
      </c>
      <c r="W1189" s="9">
        <v>1</v>
      </c>
      <c r="X1189" s="1">
        <f t="shared" si="9"/>
        <v>11</v>
      </c>
    </row>
    <row r="1190" spans="2:24" ht="13.2" x14ac:dyDescent="0.25">
      <c r="B1190" s="109"/>
      <c r="C1190" s="9">
        <v>2019</v>
      </c>
      <c r="D1190" s="9">
        <v>0</v>
      </c>
      <c r="E1190" s="9">
        <v>1</v>
      </c>
      <c r="F1190" s="9">
        <v>0</v>
      </c>
      <c r="G1190" s="9">
        <v>0</v>
      </c>
      <c r="H1190" s="9">
        <v>0</v>
      </c>
      <c r="I1190" s="9">
        <v>1</v>
      </c>
      <c r="J1190" s="9">
        <v>0</v>
      </c>
      <c r="K1190" s="9">
        <v>0</v>
      </c>
      <c r="L1190" s="9">
        <v>0</v>
      </c>
      <c r="M1190" s="9">
        <v>0</v>
      </c>
      <c r="N1190" s="9">
        <v>1</v>
      </c>
      <c r="O1190" s="9">
        <v>1</v>
      </c>
      <c r="P1190" s="9">
        <v>0</v>
      </c>
      <c r="Q1190" s="9">
        <v>0</v>
      </c>
      <c r="R1190" s="9">
        <v>0</v>
      </c>
      <c r="S1190" s="9">
        <v>1</v>
      </c>
      <c r="T1190" s="9">
        <v>0</v>
      </c>
      <c r="U1190" s="9">
        <v>1</v>
      </c>
      <c r="V1190" s="9">
        <v>0</v>
      </c>
      <c r="W1190" s="9">
        <v>1</v>
      </c>
      <c r="X1190" s="1">
        <f t="shared" si="9"/>
        <v>7</v>
      </c>
    </row>
    <row r="1191" spans="2:24" ht="13.2" x14ac:dyDescent="0.25">
      <c r="B1191" s="109"/>
      <c r="C1191" s="9">
        <v>2020</v>
      </c>
      <c r="D1191" s="9">
        <v>0</v>
      </c>
      <c r="E1191" s="9">
        <v>0</v>
      </c>
      <c r="F1191" s="9">
        <v>0</v>
      </c>
      <c r="G1191" s="9">
        <v>1</v>
      </c>
      <c r="H1191" s="9">
        <v>0</v>
      </c>
      <c r="I1191" s="9">
        <v>1</v>
      </c>
      <c r="J1191" s="9">
        <v>0</v>
      </c>
      <c r="K1191" s="9">
        <v>0</v>
      </c>
      <c r="L1191" s="9">
        <v>0</v>
      </c>
      <c r="M1191" s="9">
        <v>1</v>
      </c>
      <c r="N1191" s="9">
        <v>0</v>
      </c>
      <c r="O1191" s="9">
        <v>0</v>
      </c>
      <c r="P1191" s="9">
        <v>1</v>
      </c>
      <c r="Q1191" s="9">
        <v>1</v>
      </c>
      <c r="R1191" s="9">
        <v>0</v>
      </c>
      <c r="S1191" s="9">
        <v>0</v>
      </c>
      <c r="T1191" s="9">
        <v>0</v>
      </c>
      <c r="U1191" s="9">
        <v>0</v>
      </c>
      <c r="V1191" s="9">
        <v>0</v>
      </c>
      <c r="W1191" s="9">
        <v>0</v>
      </c>
      <c r="X1191" s="1">
        <f t="shared" si="9"/>
        <v>5</v>
      </c>
    </row>
    <row r="1192" spans="2:24" ht="13.2" x14ac:dyDescent="0.25">
      <c r="B1192" s="109"/>
      <c r="C1192" s="9">
        <v>2021</v>
      </c>
      <c r="D1192" s="9">
        <v>1</v>
      </c>
      <c r="E1192" s="9">
        <v>0</v>
      </c>
      <c r="F1192" s="9">
        <v>0</v>
      </c>
      <c r="G1192" s="9">
        <v>0</v>
      </c>
      <c r="H1192" s="9">
        <v>1</v>
      </c>
      <c r="I1192" s="9">
        <v>1</v>
      </c>
      <c r="J1192" s="9">
        <v>1</v>
      </c>
      <c r="K1192" s="9">
        <v>1</v>
      </c>
      <c r="L1192" s="9">
        <v>0</v>
      </c>
      <c r="M1192" s="9">
        <v>1</v>
      </c>
      <c r="N1192" s="9">
        <v>1</v>
      </c>
      <c r="O1192" s="9">
        <v>1</v>
      </c>
      <c r="P1192" s="9">
        <v>0</v>
      </c>
      <c r="Q1192" s="9">
        <v>0</v>
      </c>
      <c r="R1192" s="9">
        <v>0</v>
      </c>
      <c r="S1192" s="9">
        <v>0</v>
      </c>
      <c r="T1192" s="9">
        <v>1</v>
      </c>
      <c r="U1192" s="9">
        <v>1</v>
      </c>
      <c r="V1192" s="9">
        <v>1</v>
      </c>
      <c r="W1192" s="9">
        <v>1</v>
      </c>
      <c r="X1192" s="1">
        <f t="shared" si="9"/>
        <v>12</v>
      </c>
    </row>
    <row r="1193" spans="2:24" ht="13.2" x14ac:dyDescent="0.25">
      <c r="B1193" s="110"/>
      <c r="C1193" s="9">
        <v>2022</v>
      </c>
      <c r="D1193" s="9">
        <v>0</v>
      </c>
      <c r="E1193" s="9">
        <v>0</v>
      </c>
      <c r="F1193" s="9">
        <v>1</v>
      </c>
      <c r="G1193" s="9">
        <v>1</v>
      </c>
      <c r="H1193" s="9">
        <v>0</v>
      </c>
      <c r="I1193" s="9">
        <v>0</v>
      </c>
      <c r="J1193" s="9">
        <v>1</v>
      </c>
      <c r="K1193" s="9">
        <v>0</v>
      </c>
      <c r="L1193" s="9">
        <v>0</v>
      </c>
      <c r="M1193" s="9">
        <v>1</v>
      </c>
      <c r="N1193" s="9">
        <v>1</v>
      </c>
      <c r="O1193" s="9">
        <v>0</v>
      </c>
      <c r="P1193" s="9">
        <v>0</v>
      </c>
      <c r="Q1193" s="9">
        <v>0</v>
      </c>
      <c r="R1193" s="9">
        <v>1</v>
      </c>
      <c r="S1193" s="9">
        <v>0</v>
      </c>
      <c r="T1193" s="9">
        <v>1</v>
      </c>
      <c r="U1193" s="9">
        <v>1</v>
      </c>
      <c r="V1193" s="9">
        <v>1</v>
      </c>
      <c r="W1193" s="9">
        <v>0</v>
      </c>
      <c r="X1193" s="1">
        <f t="shared" si="9"/>
        <v>9</v>
      </c>
    </row>
    <row r="1194" spans="2:24" ht="13.2" x14ac:dyDescent="0.25">
      <c r="B1194" s="108" t="s">
        <v>178</v>
      </c>
      <c r="C1194" s="9">
        <v>2018</v>
      </c>
      <c r="D1194" s="9">
        <v>0</v>
      </c>
      <c r="E1194" s="9">
        <v>0</v>
      </c>
      <c r="F1194" s="9">
        <v>0</v>
      </c>
      <c r="G1194" s="9">
        <v>0</v>
      </c>
      <c r="H1194" s="9">
        <v>1</v>
      </c>
      <c r="I1194" s="9">
        <v>0</v>
      </c>
      <c r="J1194" s="9">
        <v>0</v>
      </c>
      <c r="K1194" s="9">
        <v>0</v>
      </c>
      <c r="L1194" s="9">
        <v>1</v>
      </c>
      <c r="M1194" s="9">
        <v>1</v>
      </c>
      <c r="N1194" s="9">
        <v>1</v>
      </c>
      <c r="O1194" s="9">
        <v>0</v>
      </c>
      <c r="P1194" s="9">
        <v>1</v>
      </c>
      <c r="Q1194" s="9">
        <v>1</v>
      </c>
      <c r="R1194" s="9">
        <v>0</v>
      </c>
      <c r="S1194" s="9">
        <v>1</v>
      </c>
      <c r="T1194" s="9">
        <v>0</v>
      </c>
      <c r="U1194" s="9">
        <v>1</v>
      </c>
      <c r="V1194" s="9">
        <v>0</v>
      </c>
      <c r="W1194" s="9">
        <v>0</v>
      </c>
      <c r="X1194" s="1">
        <f t="shared" si="9"/>
        <v>8</v>
      </c>
    </row>
    <row r="1195" spans="2:24" ht="13.2" x14ac:dyDescent="0.25">
      <c r="B1195" s="109"/>
      <c r="C1195" s="9">
        <v>2019</v>
      </c>
      <c r="D1195" s="9">
        <v>0</v>
      </c>
      <c r="E1195" s="9">
        <v>1</v>
      </c>
      <c r="F1195" s="9">
        <v>1</v>
      </c>
      <c r="G1195" s="9">
        <v>0</v>
      </c>
      <c r="H1195" s="9">
        <v>1</v>
      </c>
      <c r="I1195" s="9">
        <v>0</v>
      </c>
      <c r="J1195" s="9">
        <v>0</v>
      </c>
      <c r="K1195" s="9">
        <v>1</v>
      </c>
      <c r="L1195" s="9">
        <v>0</v>
      </c>
      <c r="M1195" s="9">
        <v>1</v>
      </c>
      <c r="N1195" s="9">
        <v>1</v>
      </c>
      <c r="O1195" s="9">
        <v>1</v>
      </c>
      <c r="P1195" s="9">
        <v>0</v>
      </c>
      <c r="Q1195" s="9">
        <v>0</v>
      </c>
      <c r="R1195" s="9">
        <v>0</v>
      </c>
      <c r="S1195" s="9">
        <v>1</v>
      </c>
      <c r="T1195" s="9">
        <v>1</v>
      </c>
      <c r="U1195" s="9">
        <v>1</v>
      </c>
      <c r="V1195" s="9">
        <v>1</v>
      </c>
      <c r="W1195" s="9">
        <v>0</v>
      </c>
      <c r="X1195" s="1">
        <f t="shared" si="9"/>
        <v>11</v>
      </c>
    </row>
    <row r="1196" spans="2:24" ht="13.2" x14ac:dyDescent="0.25">
      <c r="B1196" s="109"/>
      <c r="C1196" s="9">
        <v>2020</v>
      </c>
      <c r="D1196" s="9">
        <v>0</v>
      </c>
      <c r="E1196" s="9">
        <v>0</v>
      </c>
      <c r="F1196" s="9">
        <v>0</v>
      </c>
      <c r="G1196" s="9">
        <v>0</v>
      </c>
      <c r="H1196" s="9">
        <v>1</v>
      </c>
      <c r="I1196" s="9">
        <v>1</v>
      </c>
      <c r="J1196" s="9">
        <v>1</v>
      </c>
      <c r="K1196" s="9">
        <v>0</v>
      </c>
      <c r="L1196" s="9">
        <v>1</v>
      </c>
      <c r="M1196" s="9">
        <v>1</v>
      </c>
      <c r="N1196" s="9">
        <v>1</v>
      </c>
      <c r="O1196" s="9">
        <v>1</v>
      </c>
      <c r="P1196" s="9">
        <v>1</v>
      </c>
      <c r="Q1196" s="9">
        <v>1</v>
      </c>
      <c r="R1196" s="9">
        <v>1</v>
      </c>
      <c r="S1196" s="9">
        <v>1</v>
      </c>
      <c r="T1196" s="9">
        <v>0</v>
      </c>
      <c r="U1196" s="9">
        <v>1</v>
      </c>
      <c r="V1196" s="9">
        <v>0</v>
      </c>
      <c r="W1196" s="9">
        <v>0</v>
      </c>
      <c r="X1196" s="1">
        <f t="shared" si="9"/>
        <v>12</v>
      </c>
    </row>
    <row r="1197" spans="2:24" ht="13.2" x14ac:dyDescent="0.25">
      <c r="B1197" s="109"/>
      <c r="C1197" s="9">
        <v>2021</v>
      </c>
      <c r="D1197" s="9">
        <v>1</v>
      </c>
      <c r="E1197" s="9">
        <v>0</v>
      </c>
      <c r="F1197" s="9">
        <v>1</v>
      </c>
      <c r="G1197" s="9">
        <v>1</v>
      </c>
      <c r="H1197" s="9">
        <v>0</v>
      </c>
      <c r="I1197" s="9">
        <v>1</v>
      </c>
      <c r="J1197" s="9">
        <v>1</v>
      </c>
      <c r="K1197" s="9">
        <v>1</v>
      </c>
      <c r="L1197" s="9">
        <v>0</v>
      </c>
      <c r="M1197" s="9">
        <v>1</v>
      </c>
      <c r="N1197" s="9">
        <v>0</v>
      </c>
      <c r="O1197" s="9">
        <v>0</v>
      </c>
      <c r="P1197" s="9">
        <v>1</v>
      </c>
      <c r="Q1197" s="9">
        <v>1</v>
      </c>
      <c r="R1197" s="9">
        <v>1</v>
      </c>
      <c r="S1197" s="9">
        <v>1</v>
      </c>
      <c r="T1197" s="9">
        <v>0</v>
      </c>
      <c r="U1197" s="9">
        <v>0</v>
      </c>
      <c r="V1197" s="9">
        <v>0</v>
      </c>
      <c r="W1197" s="9">
        <v>0</v>
      </c>
      <c r="X1197" s="1">
        <f t="shared" si="9"/>
        <v>11</v>
      </c>
    </row>
    <row r="1198" spans="2:24" ht="13.2" x14ac:dyDescent="0.25">
      <c r="B1198" s="110"/>
      <c r="C1198" s="9">
        <v>2022</v>
      </c>
      <c r="D1198" s="9">
        <v>1</v>
      </c>
      <c r="E1198" s="9">
        <v>0</v>
      </c>
      <c r="F1198" s="9">
        <v>1</v>
      </c>
      <c r="G1198" s="9">
        <v>1</v>
      </c>
      <c r="H1198" s="9">
        <v>1</v>
      </c>
      <c r="I1198" s="9">
        <v>1</v>
      </c>
      <c r="J1198" s="9">
        <v>0</v>
      </c>
      <c r="K1198" s="9">
        <v>0</v>
      </c>
      <c r="L1198" s="9">
        <v>1</v>
      </c>
      <c r="M1198" s="9">
        <v>0</v>
      </c>
      <c r="N1198" s="9">
        <v>1</v>
      </c>
      <c r="O1198" s="9">
        <v>0</v>
      </c>
      <c r="P1198" s="9">
        <v>0</v>
      </c>
      <c r="Q1198" s="9">
        <v>0</v>
      </c>
      <c r="R1198" s="9">
        <v>0</v>
      </c>
      <c r="S1198" s="9">
        <v>0</v>
      </c>
      <c r="T1198" s="9">
        <v>1</v>
      </c>
      <c r="U1198" s="9">
        <v>0</v>
      </c>
      <c r="V1198" s="9">
        <v>0</v>
      </c>
      <c r="W1198" s="9">
        <v>1</v>
      </c>
      <c r="X1198" s="1">
        <f t="shared" si="9"/>
        <v>9</v>
      </c>
    </row>
    <row r="1199" spans="2:24" ht="13.2" x14ac:dyDescent="0.25">
      <c r="B1199" s="108" t="s">
        <v>179</v>
      </c>
      <c r="C1199" s="9">
        <v>2018</v>
      </c>
      <c r="D1199" s="9">
        <v>1</v>
      </c>
      <c r="E1199" s="9">
        <v>0</v>
      </c>
      <c r="F1199" s="9">
        <v>1</v>
      </c>
      <c r="G1199" s="9">
        <v>0</v>
      </c>
      <c r="H1199" s="9">
        <v>0</v>
      </c>
      <c r="I1199" s="9">
        <v>1</v>
      </c>
      <c r="J1199" s="9">
        <v>0</v>
      </c>
      <c r="K1199" s="9">
        <v>0</v>
      </c>
      <c r="L1199" s="9">
        <v>0</v>
      </c>
      <c r="M1199" s="9">
        <v>1</v>
      </c>
      <c r="N1199" s="9">
        <v>1</v>
      </c>
      <c r="O1199" s="9">
        <v>1</v>
      </c>
      <c r="P1199" s="9">
        <v>1</v>
      </c>
      <c r="Q1199" s="9">
        <v>1</v>
      </c>
      <c r="R1199" s="9">
        <v>1</v>
      </c>
      <c r="S1199" s="9">
        <v>1</v>
      </c>
      <c r="T1199" s="9">
        <v>0</v>
      </c>
      <c r="U1199" s="9">
        <v>1</v>
      </c>
      <c r="V1199" s="9">
        <v>0</v>
      </c>
      <c r="W1199" s="9">
        <v>0</v>
      </c>
      <c r="X1199" s="1">
        <f t="shared" si="9"/>
        <v>11</v>
      </c>
    </row>
    <row r="1200" spans="2:24" ht="13.2" x14ac:dyDescent="0.25">
      <c r="B1200" s="109"/>
      <c r="C1200" s="9">
        <v>2019</v>
      </c>
      <c r="D1200" s="9">
        <v>1</v>
      </c>
      <c r="E1200" s="9">
        <v>1</v>
      </c>
      <c r="F1200" s="9">
        <v>1</v>
      </c>
      <c r="G1200" s="9">
        <v>1</v>
      </c>
      <c r="H1200" s="9">
        <v>1</v>
      </c>
      <c r="I1200" s="9">
        <v>1</v>
      </c>
      <c r="J1200" s="9">
        <v>1</v>
      </c>
      <c r="K1200" s="9">
        <v>1</v>
      </c>
      <c r="L1200" s="9">
        <v>0</v>
      </c>
      <c r="M1200" s="9">
        <v>1</v>
      </c>
      <c r="N1200" s="9">
        <v>0</v>
      </c>
      <c r="O1200" s="9">
        <v>1</v>
      </c>
      <c r="P1200" s="9">
        <v>0</v>
      </c>
      <c r="Q1200" s="9">
        <v>0</v>
      </c>
      <c r="R1200" s="9">
        <v>1</v>
      </c>
      <c r="S1200" s="9">
        <v>1</v>
      </c>
      <c r="T1200" s="9">
        <v>1</v>
      </c>
      <c r="U1200" s="9">
        <v>0</v>
      </c>
      <c r="V1200" s="9">
        <v>1</v>
      </c>
      <c r="W1200" s="9">
        <v>0</v>
      </c>
      <c r="X1200" s="1">
        <f t="shared" si="9"/>
        <v>14</v>
      </c>
    </row>
    <row r="1201" spans="2:24" ht="13.2" x14ac:dyDescent="0.25">
      <c r="B1201" s="109"/>
      <c r="C1201" s="9">
        <v>2020</v>
      </c>
      <c r="D1201" s="9">
        <v>0</v>
      </c>
      <c r="E1201" s="9">
        <v>0</v>
      </c>
      <c r="F1201" s="9">
        <v>1</v>
      </c>
      <c r="G1201" s="9">
        <v>0</v>
      </c>
      <c r="H1201" s="9">
        <v>1</v>
      </c>
      <c r="I1201" s="9">
        <v>1</v>
      </c>
      <c r="J1201" s="9">
        <v>0</v>
      </c>
      <c r="K1201" s="9">
        <v>0</v>
      </c>
      <c r="L1201" s="9">
        <v>0</v>
      </c>
      <c r="M1201" s="9">
        <v>1</v>
      </c>
      <c r="N1201" s="9">
        <v>1</v>
      </c>
      <c r="O1201" s="9">
        <v>0</v>
      </c>
      <c r="P1201" s="9">
        <v>1</v>
      </c>
      <c r="Q1201" s="9">
        <v>1</v>
      </c>
      <c r="R1201" s="9">
        <v>1</v>
      </c>
      <c r="S1201" s="9">
        <v>0</v>
      </c>
      <c r="T1201" s="9">
        <v>0</v>
      </c>
      <c r="U1201" s="9">
        <v>1</v>
      </c>
      <c r="V1201" s="9">
        <v>1</v>
      </c>
      <c r="W1201" s="9">
        <v>1</v>
      </c>
      <c r="X1201" s="1">
        <f t="shared" si="9"/>
        <v>11</v>
      </c>
    </row>
    <row r="1202" spans="2:24" ht="13.2" x14ac:dyDescent="0.25">
      <c r="B1202" s="109"/>
      <c r="C1202" s="9">
        <v>2021</v>
      </c>
      <c r="D1202" s="9">
        <v>1</v>
      </c>
      <c r="E1202" s="9">
        <v>1</v>
      </c>
      <c r="F1202" s="9">
        <v>1</v>
      </c>
      <c r="G1202" s="9">
        <v>0</v>
      </c>
      <c r="H1202" s="9">
        <v>0</v>
      </c>
      <c r="I1202" s="9">
        <v>1</v>
      </c>
      <c r="J1202" s="9">
        <v>0</v>
      </c>
      <c r="K1202" s="9">
        <v>1</v>
      </c>
      <c r="L1202" s="9">
        <v>1</v>
      </c>
      <c r="M1202" s="9">
        <v>1</v>
      </c>
      <c r="N1202" s="9">
        <v>1</v>
      </c>
      <c r="O1202" s="9">
        <v>0</v>
      </c>
      <c r="P1202" s="9">
        <v>0</v>
      </c>
      <c r="Q1202" s="9">
        <v>1</v>
      </c>
      <c r="R1202" s="9">
        <v>0</v>
      </c>
      <c r="S1202" s="9">
        <v>1</v>
      </c>
      <c r="T1202" s="9">
        <v>0</v>
      </c>
      <c r="U1202" s="9">
        <v>1</v>
      </c>
      <c r="V1202" s="9">
        <v>0</v>
      </c>
      <c r="W1202" s="9">
        <v>0</v>
      </c>
      <c r="X1202" s="1">
        <f t="shared" si="9"/>
        <v>11</v>
      </c>
    </row>
    <row r="1203" spans="2:24" ht="13.2" x14ac:dyDescent="0.25">
      <c r="B1203" s="110"/>
      <c r="C1203" s="9">
        <v>2022</v>
      </c>
      <c r="D1203" s="9">
        <v>1</v>
      </c>
      <c r="E1203" s="9">
        <v>0</v>
      </c>
      <c r="F1203" s="9">
        <v>0</v>
      </c>
      <c r="G1203" s="9">
        <v>0</v>
      </c>
      <c r="H1203" s="9">
        <v>1</v>
      </c>
      <c r="I1203" s="9">
        <v>0</v>
      </c>
      <c r="J1203" s="9">
        <v>1</v>
      </c>
      <c r="K1203" s="9">
        <v>1</v>
      </c>
      <c r="L1203" s="9">
        <v>0</v>
      </c>
      <c r="M1203" s="9">
        <v>1</v>
      </c>
      <c r="N1203" s="9">
        <v>0</v>
      </c>
      <c r="O1203" s="9">
        <v>0</v>
      </c>
      <c r="P1203" s="9">
        <v>1</v>
      </c>
      <c r="Q1203" s="9">
        <v>1</v>
      </c>
      <c r="R1203" s="9">
        <v>1</v>
      </c>
      <c r="S1203" s="9">
        <v>1</v>
      </c>
      <c r="T1203" s="9">
        <v>0</v>
      </c>
      <c r="U1203" s="9">
        <v>1</v>
      </c>
      <c r="V1203" s="9">
        <v>0</v>
      </c>
      <c r="W1203" s="9">
        <v>1</v>
      </c>
      <c r="X1203" s="1">
        <f t="shared" si="9"/>
        <v>11</v>
      </c>
    </row>
    <row r="1204" spans="2:24" ht="13.2" x14ac:dyDescent="0.25">
      <c r="B1204" s="108" t="s">
        <v>180</v>
      </c>
      <c r="C1204" s="9">
        <v>2018</v>
      </c>
      <c r="D1204" s="9">
        <v>0</v>
      </c>
      <c r="E1204" s="9">
        <v>1</v>
      </c>
      <c r="F1204" s="9">
        <v>1</v>
      </c>
      <c r="G1204" s="9">
        <v>0</v>
      </c>
      <c r="H1204" s="9">
        <v>0</v>
      </c>
      <c r="I1204" s="9">
        <v>1</v>
      </c>
      <c r="J1204" s="9">
        <v>0</v>
      </c>
      <c r="K1204" s="9">
        <v>0</v>
      </c>
      <c r="L1204" s="9">
        <v>1</v>
      </c>
      <c r="M1204" s="9">
        <v>1</v>
      </c>
      <c r="N1204" s="9">
        <v>0</v>
      </c>
      <c r="O1204" s="9">
        <v>0</v>
      </c>
      <c r="P1204" s="9">
        <v>0</v>
      </c>
      <c r="Q1204" s="9">
        <v>1</v>
      </c>
      <c r="R1204" s="9">
        <v>1</v>
      </c>
      <c r="S1204" s="9">
        <v>1</v>
      </c>
      <c r="T1204" s="9">
        <v>0</v>
      </c>
      <c r="U1204" s="9">
        <v>0</v>
      </c>
      <c r="V1204" s="9">
        <v>0</v>
      </c>
      <c r="W1204" s="9">
        <v>0</v>
      </c>
      <c r="X1204" s="1">
        <f t="shared" si="9"/>
        <v>8</v>
      </c>
    </row>
    <row r="1205" spans="2:24" ht="13.2" x14ac:dyDescent="0.25">
      <c r="B1205" s="109"/>
      <c r="C1205" s="9">
        <v>2019</v>
      </c>
      <c r="D1205" s="9">
        <v>1</v>
      </c>
      <c r="E1205" s="9">
        <v>1</v>
      </c>
      <c r="F1205" s="9">
        <v>1</v>
      </c>
      <c r="G1205" s="9">
        <v>0</v>
      </c>
      <c r="H1205" s="9">
        <v>0</v>
      </c>
      <c r="I1205" s="9">
        <v>1</v>
      </c>
      <c r="J1205" s="9">
        <v>0</v>
      </c>
      <c r="K1205" s="9">
        <v>0</v>
      </c>
      <c r="L1205" s="9">
        <v>0</v>
      </c>
      <c r="M1205" s="9">
        <v>0</v>
      </c>
      <c r="N1205" s="9">
        <v>0</v>
      </c>
      <c r="O1205" s="9">
        <v>0</v>
      </c>
      <c r="P1205" s="9">
        <v>1</v>
      </c>
      <c r="Q1205" s="9">
        <v>0</v>
      </c>
      <c r="R1205" s="9">
        <v>1</v>
      </c>
      <c r="S1205" s="9">
        <v>1</v>
      </c>
      <c r="T1205" s="9">
        <v>0</v>
      </c>
      <c r="U1205" s="9">
        <v>0</v>
      </c>
      <c r="V1205" s="9">
        <v>1</v>
      </c>
      <c r="W1205" s="9">
        <v>1</v>
      </c>
      <c r="X1205" s="1">
        <f t="shared" si="9"/>
        <v>9</v>
      </c>
    </row>
    <row r="1206" spans="2:24" ht="13.2" x14ac:dyDescent="0.25">
      <c r="B1206" s="109"/>
      <c r="C1206" s="9">
        <v>2020</v>
      </c>
      <c r="D1206" s="9">
        <v>1</v>
      </c>
      <c r="E1206" s="9">
        <v>1</v>
      </c>
      <c r="F1206" s="9">
        <v>1</v>
      </c>
      <c r="G1206" s="9">
        <v>1</v>
      </c>
      <c r="H1206" s="9">
        <v>0</v>
      </c>
      <c r="I1206" s="9">
        <v>1</v>
      </c>
      <c r="J1206" s="9">
        <v>0</v>
      </c>
      <c r="K1206" s="9">
        <v>1</v>
      </c>
      <c r="L1206" s="9">
        <v>0</v>
      </c>
      <c r="M1206" s="9">
        <v>1</v>
      </c>
      <c r="N1206" s="9">
        <v>0</v>
      </c>
      <c r="O1206" s="9">
        <v>1</v>
      </c>
      <c r="P1206" s="9">
        <v>1</v>
      </c>
      <c r="Q1206" s="9">
        <v>1</v>
      </c>
      <c r="R1206" s="9">
        <v>0</v>
      </c>
      <c r="S1206" s="9">
        <v>0</v>
      </c>
      <c r="T1206" s="9">
        <v>0</v>
      </c>
      <c r="U1206" s="9">
        <v>0</v>
      </c>
      <c r="V1206" s="9">
        <v>1</v>
      </c>
      <c r="W1206" s="9">
        <v>1</v>
      </c>
      <c r="X1206" s="1">
        <f t="shared" si="9"/>
        <v>12</v>
      </c>
    </row>
    <row r="1207" spans="2:24" ht="13.2" x14ac:dyDescent="0.25">
      <c r="B1207" s="109"/>
      <c r="C1207" s="9">
        <v>2021</v>
      </c>
      <c r="D1207" s="9">
        <v>1</v>
      </c>
      <c r="E1207" s="9">
        <v>0</v>
      </c>
      <c r="F1207" s="9">
        <v>0</v>
      </c>
      <c r="G1207" s="9">
        <v>0</v>
      </c>
      <c r="H1207" s="9">
        <v>1</v>
      </c>
      <c r="I1207" s="9">
        <v>0</v>
      </c>
      <c r="J1207" s="9">
        <v>1</v>
      </c>
      <c r="K1207" s="9">
        <v>0</v>
      </c>
      <c r="L1207" s="9">
        <v>0</v>
      </c>
      <c r="M1207" s="9">
        <v>1</v>
      </c>
      <c r="N1207" s="9">
        <v>1</v>
      </c>
      <c r="O1207" s="9">
        <v>0</v>
      </c>
      <c r="P1207" s="9">
        <v>1</v>
      </c>
      <c r="Q1207" s="9">
        <v>1</v>
      </c>
      <c r="R1207" s="9">
        <v>0</v>
      </c>
      <c r="S1207" s="9">
        <v>1</v>
      </c>
      <c r="T1207" s="9">
        <v>1</v>
      </c>
      <c r="U1207" s="9">
        <v>1</v>
      </c>
      <c r="V1207" s="9">
        <v>0</v>
      </c>
      <c r="W1207" s="9">
        <v>0</v>
      </c>
      <c r="X1207" s="1">
        <f t="shared" si="9"/>
        <v>10</v>
      </c>
    </row>
    <row r="1208" spans="2:24" ht="13.2" x14ac:dyDescent="0.25">
      <c r="B1208" s="110"/>
      <c r="C1208" s="9">
        <v>2022</v>
      </c>
      <c r="D1208" s="9">
        <v>0</v>
      </c>
      <c r="E1208" s="9">
        <v>1</v>
      </c>
      <c r="F1208" s="9">
        <v>0</v>
      </c>
      <c r="G1208" s="9">
        <v>1</v>
      </c>
      <c r="H1208" s="9">
        <v>0</v>
      </c>
      <c r="I1208" s="9">
        <v>0</v>
      </c>
      <c r="J1208" s="9">
        <v>0</v>
      </c>
      <c r="K1208" s="9">
        <v>1</v>
      </c>
      <c r="L1208" s="9">
        <v>1</v>
      </c>
      <c r="M1208" s="9">
        <v>0</v>
      </c>
      <c r="N1208" s="9">
        <v>1</v>
      </c>
      <c r="O1208" s="9">
        <v>1</v>
      </c>
      <c r="P1208" s="9">
        <v>1</v>
      </c>
      <c r="Q1208" s="9">
        <v>0</v>
      </c>
      <c r="R1208" s="9">
        <v>0</v>
      </c>
      <c r="S1208" s="9">
        <v>0</v>
      </c>
      <c r="T1208" s="9">
        <v>1</v>
      </c>
      <c r="U1208" s="9">
        <v>1</v>
      </c>
      <c r="V1208" s="9">
        <v>0</v>
      </c>
      <c r="W1208" s="9">
        <v>1</v>
      </c>
      <c r="X1208" s="1">
        <f t="shared" si="9"/>
        <v>10</v>
      </c>
    </row>
    <row r="1209" spans="2:24" ht="13.2" x14ac:dyDescent="0.25">
      <c r="B1209" s="108" t="s">
        <v>181</v>
      </c>
      <c r="C1209" s="9">
        <v>2018</v>
      </c>
      <c r="D1209" s="9">
        <v>0</v>
      </c>
      <c r="E1209" s="9">
        <v>1</v>
      </c>
      <c r="F1209" s="9">
        <v>0</v>
      </c>
      <c r="G1209" s="9">
        <v>1</v>
      </c>
      <c r="H1209" s="9">
        <v>1</v>
      </c>
      <c r="I1209" s="9">
        <v>1</v>
      </c>
      <c r="J1209" s="9">
        <v>1</v>
      </c>
      <c r="K1209" s="9">
        <v>1</v>
      </c>
      <c r="L1209" s="9">
        <v>1</v>
      </c>
      <c r="M1209" s="9">
        <v>0</v>
      </c>
      <c r="N1209" s="9">
        <v>0</v>
      </c>
      <c r="O1209" s="9">
        <v>0</v>
      </c>
      <c r="P1209" s="9">
        <v>1</v>
      </c>
      <c r="Q1209" s="9">
        <v>1</v>
      </c>
      <c r="R1209" s="9">
        <v>0</v>
      </c>
      <c r="S1209" s="9">
        <v>0</v>
      </c>
      <c r="T1209" s="9">
        <v>0</v>
      </c>
      <c r="U1209" s="9">
        <v>0</v>
      </c>
      <c r="V1209" s="9">
        <v>1</v>
      </c>
      <c r="W1209" s="9">
        <v>1</v>
      </c>
      <c r="X1209" s="1">
        <f t="shared" si="9"/>
        <v>11</v>
      </c>
    </row>
    <row r="1210" spans="2:24" ht="13.2" x14ac:dyDescent="0.25">
      <c r="B1210" s="109"/>
      <c r="C1210" s="9">
        <v>2019</v>
      </c>
      <c r="D1210" s="9">
        <v>1</v>
      </c>
      <c r="E1210" s="9">
        <v>0</v>
      </c>
      <c r="F1210" s="9">
        <v>1</v>
      </c>
      <c r="G1210" s="9">
        <v>0</v>
      </c>
      <c r="H1210" s="9">
        <v>0</v>
      </c>
      <c r="I1210" s="9">
        <v>1</v>
      </c>
      <c r="J1210" s="9">
        <v>0</v>
      </c>
      <c r="K1210" s="9">
        <v>0</v>
      </c>
      <c r="L1210" s="9">
        <v>0</v>
      </c>
      <c r="M1210" s="9">
        <v>1</v>
      </c>
      <c r="N1210" s="9">
        <v>0</v>
      </c>
      <c r="O1210" s="9">
        <v>1</v>
      </c>
      <c r="P1210" s="9">
        <v>0</v>
      </c>
      <c r="Q1210" s="9">
        <v>1</v>
      </c>
      <c r="R1210" s="9">
        <v>1</v>
      </c>
      <c r="S1210" s="9">
        <v>1</v>
      </c>
      <c r="T1210" s="9">
        <v>1</v>
      </c>
      <c r="U1210" s="9">
        <v>1</v>
      </c>
      <c r="V1210" s="9">
        <v>1</v>
      </c>
      <c r="W1210" s="9">
        <v>1</v>
      </c>
      <c r="X1210" s="1">
        <f t="shared" si="9"/>
        <v>12</v>
      </c>
    </row>
    <row r="1211" spans="2:24" ht="13.2" x14ac:dyDescent="0.25">
      <c r="B1211" s="109"/>
      <c r="C1211" s="9">
        <v>2020</v>
      </c>
      <c r="D1211" s="9">
        <v>1</v>
      </c>
      <c r="E1211" s="9">
        <v>0</v>
      </c>
      <c r="F1211" s="9">
        <v>0</v>
      </c>
      <c r="G1211" s="9">
        <v>0</v>
      </c>
      <c r="H1211" s="9">
        <v>0</v>
      </c>
      <c r="I1211" s="9">
        <v>0</v>
      </c>
      <c r="J1211" s="9">
        <v>0</v>
      </c>
      <c r="K1211" s="9">
        <v>0</v>
      </c>
      <c r="L1211" s="9">
        <v>1</v>
      </c>
      <c r="M1211" s="9">
        <v>0</v>
      </c>
      <c r="N1211" s="9">
        <v>0</v>
      </c>
      <c r="O1211" s="9">
        <v>1</v>
      </c>
      <c r="P1211" s="9">
        <v>0</v>
      </c>
      <c r="Q1211" s="9">
        <v>0</v>
      </c>
      <c r="R1211" s="9">
        <v>1</v>
      </c>
      <c r="S1211" s="9">
        <v>1</v>
      </c>
      <c r="T1211" s="9">
        <v>1</v>
      </c>
      <c r="U1211" s="9">
        <v>1</v>
      </c>
      <c r="V1211" s="9">
        <v>1</v>
      </c>
      <c r="W1211" s="9">
        <v>0</v>
      </c>
      <c r="X1211" s="1">
        <f t="shared" si="9"/>
        <v>8</v>
      </c>
    </row>
    <row r="1212" spans="2:24" ht="13.2" x14ac:dyDescent="0.25">
      <c r="B1212" s="109"/>
      <c r="C1212" s="9">
        <v>2021</v>
      </c>
      <c r="D1212" s="9">
        <v>1</v>
      </c>
      <c r="E1212" s="9">
        <v>1</v>
      </c>
      <c r="F1212" s="9">
        <v>0</v>
      </c>
      <c r="G1212" s="9">
        <v>1</v>
      </c>
      <c r="H1212" s="9">
        <v>0</v>
      </c>
      <c r="I1212" s="9">
        <v>1</v>
      </c>
      <c r="J1212" s="9">
        <v>1</v>
      </c>
      <c r="K1212" s="9">
        <v>0</v>
      </c>
      <c r="L1212" s="9">
        <v>1</v>
      </c>
      <c r="M1212" s="9">
        <v>1</v>
      </c>
      <c r="N1212" s="9">
        <v>0</v>
      </c>
      <c r="O1212" s="9">
        <v>0</v>
      </c>
      <c r="P1212" s="9">
        <v>1</v>
      </c>
      <c r="Q1212" s="9">
        <v>0</v>
      </c>
      <c r="R1212" s="9">
        <v>1</v>
      </c>
      <c r="S1212" s="9">
        <v>0</v>
      </c>
      <c r="T1212" s="9">
        <v>1</v>
      </c>
      <c r="U1212" s="9">
        <v>0</v>
      </c>
      <c r="V1212" s="9">
        <v>1</v>
      </c>
      <c r="W1212" s="9">
        <v>0</v>
      </c>
      <c r="X1212" s="1">
        <f t="shared" si="9"/>
        <v>11</v>
      </c>
    </row>
    <row r="1213" spans="2:24" ht="13.2" x14ac:dyDescent="0.25">
      <c r="B1213" s="110"/>
      <c r="C1213" s="9">
        <v>2022</v>
      </c>
      <c r="D1213" s="9">
        <v>1</v>
      </c>
      <c r="E1213" s="9">
        <v>0</v>
      </c>
      <c r="F1213" s="9">
        <v>0</v>
      </c>
      <c r="G1213" s="9">
        <v>1</v>
      </c>
      <c r="H1213" s="9">
        <v>1</v>
      </c>
      <c r="I1213" s="9">
        <v>1</v>
      </c>
      <c r="J1213" s="9">
        <v>1</v>
      </c>
      <c r="K1213" s="9">
        <v>1</v>
      </c>
      <c r="L1213" s="9">
        <v>1</v>
      </c>
      <c r="M1213" s="9">
        <v>1</v>
      </c>
      <c r="N1213" s="9">
        <v>0</v>
      </c>
      <c r="O1213" s="9">
        <v>1</v>
      </c>
      <c r="P1213" s="9">
        <v>1</v>
      </c>
      <c r="Q1213" s="9">
        <v>1</v>
      </c>
      <c r="R1213" s="9">
        <v>1</v>
      </c>
      <c r="S1213" s="9">
        <v>0</v>
      </c>
      <c r="T1213" s="9">
        <v>1</v>
      </c>
      <c r="U1213" s="9">
        <v>0</v>
      </c>
      <c r="V1213" s="9">
        <v>0</v>
      </c>
      <c r="W1213" s="9">
        <v>0</v>
      </c>
      <c r="X1213" s="1">
        <f t="shared" si="9"/>
        <v>13</v>
      </c>
    </row>
    <row r="1214" spans="2:24" ht="13.2" x14ac:dyDescent="0.25">
      <c r="B1214" s="108" t="s">
        <v>182</v>
      </c>
      <c r="C1214" s="9">
        <v>2018</v>
      </c>
      <c r="D1214" s="9">
        <v>0</v>
      </c>
      <c r="E1214" s="9">
        <v>0</v>
      </c>
      <c r="F1214" s="9">
        <v>1</v>
      </c>
      <c r="G1214" s="9">
        <v>1</v>
      </c>
      <c r="H1214" s="9">
        <v>0</v>
      </c>
      <c r="I1214" s="9">
        <v>0</v>
      </c>
      <c r="J1214" s="9">
        <v>1</v>
      </c>
      <c r="K1214" s="9">
        <v>0</v>
      </c>
      <c r="L1214" s="9">
        <v>0</v>
      </c>
      <c r="M1214" s="9">
        <v>0</v>
      </c>
      <c r="N1214" s="9">
        <v>1</v>
      </c>
      <c r="O1214" s="9">
        <v>0</v>
      </c>
      <c r="P1214" s="9">
        <v>0</v>
      </c>
      <c r="Q1214" s="9">
        <v>0</v>
      </c>
      <c r="R1214" s="9">
        <v>1</v>
      </c>
      <c r="S1214" s="9">
        <v>0</v>
      </c>
      <c r="T1214" s="9">
        <v>1</v>
      </c>
      <c r="U1214" s="9">
        <v>1</v>
      </c>
      <c r="V1214" s="9">
        <v>1</v>
      </c>
      <c r="W1214" s="9">
        <v>0</v>
      </c>
      <c r="X1214" s="1">
        <f t="shared" si="9"/>
        <v>8</v>
      </c>
    </row>
    <row r="1215" spans="2:24" ht="13.2" x14ac:dyDescent="0.25">
      <c r="B1215" s="109"/>
      <c r="C1215" s="9">
        <v>2019</v>
      </c>
      <c r="D1215" s="9">
        <v>0</v>
      </c>
      <c r="E1215" s="9">
        <v>1</v>
      </c>
      <c r="F1215" s="9">
        <v>1</v>
      </c>
      <c r="G1215" s="9">
        <v>0</v>
      </c>
      <c r="H1215" s="9">
        <v>0</v>
      </c>
      <c r="I1215" s="9">
        <v>0</v>
      </c>
      <c r="J1215" s="9">
        <v>0</v>
      </c>
      <c r="K1215" s="9">
        <v>1</v>
      </c>
      <c r="L1215" s="9">
        <v>1</v>
      </c>
      <c r="M1215" s="9">
        <v>0</v>
      </c>
      <c r="N1215" s="9">
        <v>0</v>
      </c>
      <c r="O1215" s="9">
        <v>1</v>
      </c>
      <c r="P1215" s="9">
        <v>0</v>
      </c>
      <c r="Q1215" s="9">
        <v>0</v>
      </c>
      <c r="R1215" s="9">
        <v>1</v>
      </c>
      <c r="S1215" s="9">
        <v>1</v>
      </c>
      <c r="T1215" s="9">
        <v>1</v>
      </c>
      <c r="U1215" s="9">
        <v>0</v>
      </c>
      <c r="V1215" s="9">
        <v>1</v>
      </c>
      <c r="W1215" s="9">
        <v>0</v>
      </c>
      <c r="X1215" s="1">
        <f t="shared" si="9"/>
        <v>9</v>
      </c>
    </row>
    <row r="1216" spans="2:24" ht="13.2" x14ac:dyDescent="0.25">
      <c r="B1216" s="109"/>
      <c r="C1216" s="9">
        <v>2020</v>
      </c>
      <c r="D1216" s="9">
        <v>1</v>
      </c>
      <c r="E1216" s="9">
        <v>0</v>
      </c>
      <c r="F1216" s="9">
        <v>0</v>
      </c>
      <c r="G1216" s="9">
        <v>0</v>
      </c>
      <c r="H1216" s="9">
        <v>1</v>
      </c>
      <c r="I1216" s="9">
        <v>0</v>
      </c>
      <c r="J1216" s="9">
        <v>1</v>
      </c>
      <c r="K1216" s="9">
        <v>0</v>
      </c>
      <c r="L1216" s="9">
        <v>0</v>
      </c>
      <c r="M1216" s="9">
        <v>0</v>
      </c>
      <c r="N1216" s="9">
        <v>1</v>
      </c>
      <c r="O1216" s="9">
        <v>1</v>
      </c>
      <c r="P1216" s="9">
        <v>1</v>
      </c>
      <c r="Q1216" s="9">
        <v>0</v>
      </c>
      <c r="R1216" s="9">
        <v>0</v>
      </c>
      <c r="S1216" s="9">
        <v>1</v>
      </c>
      <c r="T1216" s="9">
        <v>0</v>
      </c>
      <c r="U1216" s="9">
        <v>1</v>
      </c>
      <c r="V1216" s="9">
        <v>0</v>
      </c>
      <c r="W1216" s="9">
        <v>1</v>
      </c>
      <c r="X1216" s="1">
        <f t="shared" si="9"/>
        <v>9</v>
      </c>
    </row>
    <row r="1217" spans="2:24" ht="13.2" x14ac:dyDescent="0.25">
      <c r="B1217" s="109"/>
      <c r="C1217" s="9">
        <v>2021</v>
      </c>
      <c r="D1217" s="9">
        <v>0</v>
      </c>
      <c r="E1217" s="9">
        <v>1</v>
      </c>
      <c r="F1217" s="9">
        <v>1</v>
      </c>
      <c r="G1217" s="9">
        <v>1</v>
      </c>
      <c r="H1217" s="9">
        <v>1</v>
      </c>
      <c r="I1217" s="9">
        <v>1</v>
      </c>
      <c r="J1217" s="9">
        <v>1</v>
      </c>
      <c r="K1217" s="9">
        <v>0</v>
      </c>
      <c r="L1217" s="9">
        <v>1</v>
      </c>
      <c r="M1217" s="9">
        <v>0</v>
      </c>
      <c r="N1217" s="9">
        <v>1</v>
      </c>
      <c r="O1217" s="9">
        <v>0</v>
      </c>
      <c r="P1217" s="9">
        <v>0</v>
      </c>
      <c r="Q1217" s="9">
        <v>1</v>
      </c>
      <c r="R1217" s="9">
        <v>0</v>
      </c>
      <c r="S1217" s="9">
        <v>0</v>
      </c>
      <c r="T1217" s="9">
        <v>1</v>
      </c>
      <c r="U1217" s="9">
        <v>1</v>
      </c>
      <c r="V1217" s="9">
        <v>1</v>
      </c>
      <c r="W1217" s="9">
        <v>0</v>
      </c>
      <c r="X1217" s="1">
        <f t="shared" si="9"/>
        <v>12</v>
      </c>
    </row>
    <row r="1218" spans="2:24" ht="13.2" x14ac:dyDescent="0.25">
      <c r="B1218" s="110"/>
      <c r="C1218" s="9">
        <v>2022</v>
      </c>
      <c r="D1218" s="9">
        <v>1</v>
      </c>
      <c r="E1218" s="9">
        <v>1</v>
      </c>
      <c r="F1218" s="9">
        <v>1</v>
      </c>
      <c r="G1218" s="9">
        <v>1</v>
      </c>
      <c r="H1218" s="9">
        <v>0</v>
      </c>
      <c r="I1218" s="9">
        <v>0</v>
      </c>
      <c r="J1218" s="9">
        <v>1</v>
      </c>
      <c r="K1218" s="9">
        <v>1</v>
      </c>
      <c r="L1218" s="9">
        <v>1</v>
      </c>
      <c r="M1218" s="9">
        <v>0</v>
      </c>
      <c r="N1218" s="9">
        <v>0</v>
      </c>
      <c r="O1218" s="9">
        <v>0</v>
      </c>
      <c r="P1218" s="9">
        <v>0</v>
      </c>
      <c r="Q1218" s="9">
        <v>0</v>
      </c>
      <c r="R1218" s="9">
        <v>1</v>
      </c>
      <c r="S1218" s="9">
        <v>1</v>
      </c>
      <c r="T1218" s="9">
        <v>0</v>
      </c>
      <c r="U1218" s="9">
        <v>1</v>
      </c>
      <c r="V1218" s="9">
        <v>0</v>
      </c>
      <c r="W1218" s="9">
        <v>1</v>
      </c>
      <c r="X1218" s="1">
        <f t="shared" si="9"/>
        <v>11</v>
      </c>
    </row>
    <row r="1219" spans="2:24" ht="13.2" x14ac:dyDescent="0.25">
      <c r="B1219" s="108" t="s">
        <v>183</v>
      </c>
      <c r="C1219" s="9">
        <v>2018</v>
      </c>
      <c r="D1219" s="9">
        <v>1</v>
      </c>
      <c r="E1219" s="9">
        <v>1</v>
      </c>
      <c r="F1219" s="9">
        <v>1</v>
      </c>
      <c r="G1219" s="9">
        <v>0</v>
      </c>
      <c r="H1219" s="9">
        <v>1</v>
      </c>
      <c r="I1219" s="9">
        <v>0</v>
      </c>
      <c r="J1219" s="9">
        <v>1</v>
      </c>
      <c r="K1219" s="9">
        <v>1</v>
      </c>
      <c r="L1219" s="9">
        <v>0</v>
      </c>
      <c r="M1219" s="9">
        <v>0</v>
      </c>
      <c r="N1219" s="9">
        <v>0</v>
      </c>
      <c r="O1219" s="9">
        <v>1</v>
      </c>
      <c r="P1219" s="9">
        <v>0</v>
      </c>
      <c r="Q1219" s="9">
        <v>0</v>
      </c>
      <c r="R1219" s="9">
        <v>1</v>
      </c>
      <c r="S1219" s="9">
        <v>1</v>
      </c>
      <c r="T1219" s="9">
        <v>1</v>
      </c>
      <c r="U1219" s="9">
        <v>1</v>
      </c>
      <c r="V1219" s="9">
        <v>1</v>
      </c>
      <c r="W1219" s="9">
        <v>1</v>
      </c>
      <c r="X1219" s="1">
        <f t="shared" si="9"/>
        <v>13</v>
      </c>
    </row>
    <row r="1220" spans="2:24" ht="13.2" x14ac:dyDescent="0.25">
      <c r="B1220" s="109"/>
      <c r="C1220" s="9">
        <v>2019</v>
      </c>
      <c r="D1220" s="9">
        <v>1</v>
      </c>
      <c r="E1220" s="9">
        <v>1</v>
      </c>
      <c r="F1220" s="9">
        <v>0</v>
      </c>
      <c r="G1220" s="9">
        <v>0</v>
      </c>
      <c r="H1220" s="9">
        <v>1</v>
      </c>
      <c r="I1220" s="9">
        <v>0</v>
      </c>
      <c r="J1220" s="9">
        <v>1</v>
      </c>
      <c r="K1220" s="9">
        <v>1</v>
      </c>
      <c r="L1220" s="9">
        <v>0</v>
      </c>
      <c r="M1220" s="9">
        <v>1</v>
      </c>
      <c r="N1220" s="9">
        <v>0</v>
      </c>
      <c r="O1220" s="9">
        <v>0</v>
      </c>
      <c r="P1220" s="9">
        <v>1</v>
      </c>
      <c r="Q1220" s="9">
        <v>1</v>
      </c>
      <c r="R1220" s="9">
        <v>1</v>
      </c>
      <c r="S1220" s="9">
        <v>0</v>
      </c>
      <c r="T1220" s="9">
        <v>1</v>
      </c>
      <c r="U1220" s="9">
        <v>1</v>
      </c>
      <c r="V1220" s="9">
        <v>1</v>
      </c>
      <c r="W1220" s="9">
        <v>1</v>
      </c>
      <c r="X1220" s="1">
        <f t="shared" si="9"/>
        <v>13</v>
      </c>
    </row>
    <row r="1221" spans="2:24" ht="13.2" x14ac:dyDescent="0.25">
      <c r="B1221" s="109"/>
      <c r="C1221" s="9">
        <v>2020</v>
      </c>
      <c r="D1221" s="9">
        <v>1</v>
      </c>
      <c r="E1221" s="9">
        <v>1</v>
      </c>
      <c r="F1221" s="9">
        <v>1</v>
      </c>
      <c r="G1221" s="9">
        <v>1</v>
      </c>
      <c r="H1221" s="9">
        <v>0</v>
      </c>
      <c r="I1221" s="9">
        <v>1</v>
      </c>
      <c r="J1221" s="9">
        <v>1</v>
      </c>
      <c r="K1221" s="9">
        <v>1</v>
      </c>
      <c r="L1221" s="9">
        <v>0</v>
      </c>
      <c r="M1221" s="9">
        <v>0</v>
      </c>
      <c r="N1221" s="9">
        <v>0</v>
      </c>
      <c r="O1221" s="9">
        <v>0</v>
      </c>
      <c r="P1221" s="9">
        <v>1</v>
      </c>
      <c r="Q1221" s="9">
        <v>0</v>
      </c>
      <c r="R1221" s="9">
        <v>1</v>
      </c>
      <c r="S1221" s="9">
        <v>1</v>
      </c>
      <c r="T1221" s="9">
        <v>1</v>
      </c>
      <c r="U1221" s="9">
        <v>0</v>
      </c>
      <c r="V1221" s="9">
        <v>1</v>
      </c>
      <c r="W1221" s="9">
        <v>1</v>
      </c>
      <c r="X1221" s="1">
        <f t="shared" si="9"/>
        <v>13</v>
      </c>
    </row>
    <row r="1222" spans="2:24" ht="13.2" x14ac:dyDescent="0.25">
      <c r="B1222" s="109"/>
      <c r="C1222" s="9">
        <v>2021</v>
      </c>
      <c r="D1222" s="9">
        <v>1</v>
      </c>
      <c r="E1222" s="9">
        <v>0</v>
      </c>
      <c r="F1222" s="9">
        <v>1</v>
      </c>
      <c r="G1222" s="9">
        <v>1</v>
      </c>
      <c r="H1222" s="9">
        <v>1</v>
      </c>
      <c r="I1222" s="9">
        <v>0</v>
      </c>
      <c r="J1222" s="9">
        <v>1</v>
      </c>
      <c r="K1222" s="9">
        <v>1</v>
      </c>
      <c r="L1222" s="9">
        <v>0</v>
      </c>
      <c r="M1222" s="9">
        <v>1</v>
      </c>
      <c r="N1222" s="9">
        <v>0</v>
      </c>
      <c r="O1222" s="9">
        <v>1</v>
      </c>
      <c r="P1222" s="9">
        <v>0</v>
      </c>
      <c r="Q1222" s="9">
        <v>1</v>
      </c>
      <c r="R1222" s="9">
        <v>1</v>
      </c>
      <c r="S1222" s="9">
        <v>1</v>
      </c>
      <c r="T1222" s="9">
        <v>1</v>
      </c>
      <c r="U1222" s="9">
        <v>0</v>
      </c>
      <c r="V1222" s="9">
        <v>0</v>
      </c>
      <c r="W1222" s="9">
        <v>0</v>
      </c>
      <c r="X1222" s="1">
        <f t="shared" si="9"/>
        <v>12</v>
      </c>
    </row>
    <row r="1223" spans="2:24" ht="13.2" x14ac:dyDescent="0.25">
      <c r="B1223" s="110"/>
      <c r="C1223" s="9">
        <v>2022</v>
      </c>
      <c r="D1223" s="9">
        <v>1</v>
      </c>
      <c r="E1223" s="9">
        <v>0</v>
      </c>
      <c r="F1223" s="9">
        <v>1</v>
      </c>
      <c r="G1223" s="9">
        <v>1</v>
      </c>
      <c r="H1223" s="9">
        <v>0</v>
      </c>
      <c r="I1223" s="9">
        <v>1</v>
      </c>
      <c r="J1223" s="9">
        <v>0</v>
      </c>
      <c r="K1223" s="9">
        <v>0</v>
      </c>
      <c r="L1223" s="9">
        <v>1</v>
      </c>
      <c r="M1223" s="9">
        <v>1</v>
      </c>
      <c r="N1223" s="9">
        <v>0</v>
      </c>
      <c r="O1223" s="9">
        <v>1</v>
      </c>
      <c r="P1223" s="9">
        <v>1</v>
      </c>
      <c r="Q1223" s="9">
        <v>1</v>
      </c>
      <c r="R1223" s="9">
        <v>1</v>
      </c>
      <c r="S1223" s="9">
        <v>0</v>
      </c>
      <c r="T1223" s="9">
        <v>0</v>
      </c>
      <c r="U1223" s="9">
        <v>0</v>
      </c>
      <c r="V1223" s="9">
        <v>1</v>
      </c>
      <c r="W1223" s="9">
        <v>1</v>
      </c>
      <c r="X1223" s="1">
        <f t="shared" si="9"/>
        <v>12</v>
      </c>
    </row>
    <row r="1224" spans="2:24" ht="13.2" x14ac:dyDescent="0.25">
      <c r="B1224" s="108" t="s">
        <v>184</v>
      </c>
      <c r="C1224" s="9">
        <v>2018</v>
      </c>
      <c r="D1224" s="9">
        <v>0</v>
      </c>
      <c r="E1224" s="9">
        <v>1</v>
      </c>
      <c r="F1224" s="9">
        <v>1</v>
      </c>
      <c r="G1224" s="9">
        <v>1</v>
      </c>
      <c r="H1224" s="9">
        <v>1</v>
      </c>
      <c r="I1224" s="9">
        <v>1</v>
      </c>
      <c r="J1224" s="9">
        <v>1</v>
      </c>
      <c r="K1224" s="9">
        <v>1</v>
      </c>
      <c r="L1224" s="9">
        <v>1</v>
      </c>
      <c r="M1224" s="9">
        <v>0</v>
      </c>
      <c r="N1224" s="9">
        <v>0</v>
      </c>
      <c r="O1224" s="9">
        <v>0</v>
      </c>
      <c r="P1224" s="9">
        <v>1</v>
      </c>
      <c r="Q1224" s="9">
        <v>1</v>
      </c>
      <c r="R1224" s="9">
        <v>0</v>
      </c>
      <c r="S1224" s="9">
        <v>1</v>
      </c>
      <c r="T1224" s="9">
        <v>0</v>
      </c>
      <c r="U1224" s="9">
        <v>1</v>
      </c>
      <c r="V1224" s="9">
        <v>1</v>
      </c>
      <c r="W1224" s="9">
        <v>0</v>
      </c>
      <c r="X1224" s="1">
        <f t="shared" si="9"/>
        <v>13</v>
      </c>
    </row>
    <row r="1225" spans="2:24" ht="13.2" x14ac:dyDescent="0.25">
      <c r="B1225" s="109"/>
      <c r="C1225" s="9">
        <v>2019</v>
      </c>
      <c r="D1225" s="9">
        <v>1</v>
      </c>
      <c r="E1225" s="9">
        <v>0</v>
      </c>
      <c r="F1225" s="9">
        <v>1</v>
      </c>
      <c r="G1225" s="9">
        <v>0</v>
      </c>
      <c r="H1225" s="9">
        <v>1</v>
      </c>
      <c r="I1225" s="9">
        <v>0</v>
      </c>
      <c r="J1225" s="9">
        <v>1</v>
      </c>
      <c r="K1225" s="9">
        <v>1</v>
      </c>
      <c r="L1225" s="9">
        <v>0</v>
      </c>
      <c r="M1225" s="9">
        <v>0</v>
      </c>
      <c r="N1225" s="9">
        <v>1</v>
      </c>
      <c r="O1225" s="9">
        <v>0</v>
      </c>
      <c r="P1225" s="9">
        <v>1</v>
      </c>
      <c r="Q1225" s="9">
        <v>1</v>
      </c>
      <c r="R1225" s="9">
        <v>1</v>
      </c>
      <c r="S1225" s="9">
        <v>1</v>
      </c>
      <c r="T1225" s="9">
        <v>1</v>
      </c>
      <c r="U1225" s="9">
        <v>0</v>
      </c>
      <c r="V1225" s="9">
        <v>0</v>
      </c>
      <c r="W1225" s="9">
        <v>1</v>
      </c>
      <c r="X1225" s="1">
        <f t="shared" si="9"/>
        <v>12</v>
      </c>
    </row>
    <row r="1226" spans="2:24" ht="13.2" x14ac:dyDescent="0.25">
      <c r="B1226" s="109"/>
      <c r="C1226" s="9">
        <v>2020</v>
      </c>
      <c r="D1226" s="9">
        <v>1</v>
      </c>
      <c r="E1226" s="9">
        <v>0</v>
      </c>
      <c r="F1226" s="9">
        <v>1</v>
      </c>
      <c r="G1226" s="9">
        <v>0</v>
      </c>
      <c r="H1226" s="9">
        <v>1</v>
      </c>
      <c r="I1226" s="9">
        <v>1</v>
      </c>
      <c r="J1226" s="9">
        <v>1</v>
      </c>
      <c r="K1226" s="9">
        <v>0</v>
      </c>
      <c r="L1226" s="9">
        <v>1</v>
      </c>
      <c r="M1226" s="9">
        <v>0</v>
      </c>
      <c r="N1226" s="9">
        <v>1</v>
      </c>
      <c r="O1226" s="9">
        <v>1</v>
      </c>
      <c r="P1226" s="9">
        <v>0</v>
      </c>
      <c r="Q1226" s="9">
        <v>0</v>
      </c>
      <c r="R1226" s="9">
        <v>1</v>
      </c>
      <c r="S1226" s="9">
        <v>1</v>
      </c>
      <c r="T1226" s="9">
        <v>1</v>
      </c>
      <c r="U1226" s="9">
        <v>0</v>
      </c>
      <c r="V1226" s="9">
        <v>1</v>
      </c>
      <c r="W1226" s="9">
        <v>1</v>
      </c>
      <c r="X1226" s="1">
        <f t="shared" si="9"/>
        <v>13</v>
      </c>
    </row>
    <row r="1227" spans="2:24" ht="13.2" x14ac:dyDescent="0.25">
      <c r="B1227" s="109"/>
      <c r="C1227" s="9">
        <v>2021</v>
      </c>
      <c r="D1227" s="9">
        <v>0</v>
      </c>
      <c r="E1227" s="9">
        <v>1</v>
      </c>
      <c r="F1227" s="9">
        <v>0</v>
      </c>
      <c r="G1227" s="9">
        <v>0</v>
      </c>
      <c r="H1227" s="9">
        <v>1</v>
      </c>
      <c r="I1227" s="9">
        <v>1</v>
      </c>
      <c r="J1227" s="9">
        <v>1</v>
      </c>
      <c r="K1227" s="9">
        <v>0</v>
      </c>
      <c r="L1227" s="9">
        <v>0</v>
      </c>
      <c r="M1227" s="9">
        <v>1</v>
      </c>
      <c r="N1227" s="9">
        <v>0</v>
      </c>
      <c r="O1227" s="9">
        <v>0</v>
      </c>
      <c r="P1227" s="9">
        <v>1</v>
      </c>
      <c r="Q1227" s="9">
        <v>0</v>
      </c>
      <c r="R1227" s="9">
        <v>0</v>
      </c>
      <c r="S1227" s="9">
        <v>0</v>
      </c>
      <c r="T1227" s="9">
        <v>1</v>
      </c>
      <c r="U1227" s="9">
        <v>1</v>
      </c>
      <c r="V1227" s="9">
        <v>0</v>
      </c>
      <c r="W1227" s="9">
        <v>0</v>
      </c>
      <c r="X1227" s="1">
        <f t="shared" si="9"/>
        <v>8</v>
      </c>
    </row>
    <row r="1228" spans="2:24" ht="13.2" x14ac:dyDescent="0.25">
      <c r="B1228" s="110"/>
      <c r="C1228" s="9">
        <v>2022</v>
      </c>
      <c r="D1228" s="9">
        <v>0</v>
      </c>
      <c r="E1228" s="9">
        <v>0</v>
      </c>
      <c r="F1228" s="9">
        <v>1</v>
      </c>
      <c r="G1228" s="9">
        <v>1</v>
      </c>
      <c r="H1228" s="9">
        <v>0</v>
      </c>
      <c r="I1228" s="9">
        <v>0</v>
      </c>
      <c r="J1228" s="9">
        <v>1</v>
      </c>
      <c r="K1228" s="9">
        <v>0</v>
      </c>
      <c r="L1228" s="9">
        <v>0</v>
      </c>
      <c r="M1228" s="9">
        <v>1</v>
      </c>
      <c r="N1228" s="9">
        <v>0</v>
      </c>
      <c r="O1228" s="9">
        <v>0</v>
      </c>
      <c r="P1228" s="9">
        <v>0</v>
      </c>
      <c r="Q1228" s="9">
        <v>1</v>
      </c>
      <c r="R1228" s="9">
        <v>0</v>
      </c>
      <c r="S1228" s="9">
        <v>0</v>
      </c>
      <c r="T1228" s="9">
        <v>1</v>
      </c>
      <c r="U1228" s="9">
        <v>1</v>
      </c>
      <c r="V1228" s="9">
        <v>0</v>
      </c>
      <c r="W1228" s="9">
        <v>0</v>
      </c>
      <c r="X1228" s="1">
        <f t="shared" si="9"/>
        <v>7</v>
      </c>
    </row>
    <row r="1229" spans="2:24" ht="13.2" x14ac:dyDescent="0.25">
      <c r="B1229" s="108" t="s">
        <v>185</v>
      </c>
      <c r="C1229" s="9">
        <v>2018</v>
      </c>
      <c r="D1229" s="9">
        <v>1</v>
      </c>
      <c r="E1229" s="9">
        <v>0</v>
      </c>
      <c r="F1229" s="9">
        <v>0</v>
      </c>
      <c r="G1229" s="9">
        <v>1</v>
      </c>
      <c r="H1229" s="9">
        <v>0</v>
      </c>
      <c r="I1229" s="9">
        <v>0</v>
      </c>
      <c r="J1229" s="9">
        <v>0</v>
      </c>
      <c r="K1229" s="9">
        <v>0</v>
      </c>
      <c r="L1229" s="9">
        <v>1</v>
      </c>
      <c r="M1229" s="9">
        <v>1</v>
      </c>
      <c r="N1229" s="9">
        <v>1</v>
      </c>
      <c r="O1229" s="9">
        <v>0</v>
      </c>
      <c r="P1229" s="9">
        <v>0</v>
      </c>
      <c r="Q1229" s="9">
        <v>1</v>
      </c>
      <c r="R1229" s="9">
        <v>0</v>
      </c>
      <c r="S1229" s="9">
        <v>0</v>
      </c>
      <c r="T1229" s="9">
        <v>0</v>
      </c>
      <c r="U1229" s="9">
        <v>1</v>
      </c>
      <c r="V1229" s="9">
        <v>0</v>
      </c>
      <c r="W1229" s="9">
        <v>0</v>
      </c>
      <c r="X1229" s="1">
        <f t="shared" si="9"/>
        <v>7</v>
      </c>
    </row>
    <row r="1230" spans="2:24" ht="13.2" x14ac:dyDescent="0.25">
      <c r="B1230" s="109"/>
      <c r="C1230" s="9">
        <v>2019</v>
      </c>
      <c r="D1230" s="9">
        <v>0</v>
      </c>
      <c r="E1230" s="9">
        <v>0</v>
      </c>
      <c r="F1230" s="9">
        <v>0</v>
      </c>
      <c r="G1230" s="9">
        <v>1</v>
      </c>
      <c r="H1230" s="9">
        <v>1</v>
      </c>
      <c r="I1230" s="9">
        <v>0</v>
      </c>
      <c r="J1230" s="9">
        <v>0</v>
      </c>
      <c r="K1230" s="9">
        <v>0</v>
      </c>
      <c r="L1230" s="9">
        <v>1</v>
      </c>
      <c r="M1230" s="9">
        <v>1</v>
      </c>
      <c r="N1230" s="9">
        <v>0</v>
      </c>
      <c r="O1230" s="9">
        <v>1</v>
      </c>
      <c r="P1230" s="9">
        <v>0</v>
      </c>
      <c r="Q1230" s="9">
        <v>0</v>
      </c>
      <c r="R1230" s="9">
        <v>0</v>
      </c>
      <c r="S1230" s="9">
        <v>0</v>
      </c>
      <c r="T1230" s="9">
        <v>0</v>
      </c>
      <c r="U1230" s="9">
        <v>0</v>
      </c>
      <c r="V1230" s="9">
        <v>1</v>
      </c>
      <c r="W1230" s="9">
        <v>1</v>
      </c>
      <c r="X1230" s="1">
        <f t="shared" si="9"/>
        <v>7</v>
      </c>
    </row>
    <row r="1231" spans="2:24" ht="13.2" x14ac:dyDescent="0.25">
      <c r="B1231" s="109"/>
      <c r="C1231" s="9">
        <v>2020</v>
      </c>
      <c r="D1231" s="9">
        <v>0</v>
      </c>
      <c r="E1231" s="9">
        <v>1</v>
      </c>
      <c r="F1231" s="9">
        <v>0</v>
      </c>
      <c r="G1231" s="9">
        <v>0</v>
      </c>
      <c r="H1231" s="9">
        <v>1</v>
      </c>
      <c r="I1231" s="9">
        <v>1</v>
      </c>
      <c r="J1231" s="9">
        <v>0</v>
      </c>
      <c r="K1231" s="9">
        <v>0</v>
      </c>
      <c r="L1231" s="9">
        <v>1</v>
      </c>
      <c r="M1231" s="9">
        <v>0</v>
      </c>
      <c r="N1231" s="9">
        <v>0</v>
      </c>
      <c r="O1231" s="9">
        <v>1</v>
      </c>
      <c r="P1231" s="9">
        <v>1</v>
      </c>
      <c r="Q1231" s="9">
        <v>0</v>
      </c>
      <c r="R1231" s="9">
        <v>0</v>
      </c>
      <c r="S1231" s="9">
        <v>1</v>
      </c>
      <c r="T1231" s="9">
        <v>1</v>
      </c>
      <c r="U1231" s="9">
        <v>0</v>
      </c>
      <c r="V1231" s="9">
        <v>1</v>
      </c>
      <c r="W1231" s="9">
        <v>1</v>
      </c>
      <c r="X1231" s="1">
        <f t="shared" si="9"/>
        <v>10</v>
      </c>
    </row>
    <row r="1232" spans="2:24" ht="13.2" x14ac:dyDescent="0.25">
      <c r="B1232" s="109"/>
      <c r="C1232" s="9">
        <v>2021</v>
      </c>
      <c r="D1232" s="9">
        <v>0</v>
      </c>
      <c r="E1232" s="9">
        <v>0</v>
      </c>
      <c r="F1232" s="9">
        <v>0</v>
      </c>
      <c r="G1232" s="9">
        <v>0</v>
      </c>
      <c r="H1232" s="9">
        <v>1</v>
      </c>
      <c r="I1232" s="9">
        <v>0</v>
      </c>
      <c r="J1232" s="9">
        <v>1</v>
      </c>
      <c r="K1232" s="9">
        <v>1</v>
      </c>
      <c r="L1232" s="9">
        <v>0</v>
      </c>
      <c r="M1232" s="9">
        <v>0</v>
      </c>
      <c r="N1232" s="9">
        <v>1</v>
      </c>
      <c r="O1232" s="9">
        <v>1</v>
      </c>
      <c r="P1232" s="9">
        <v>0</v>
      </c>
      <c r="Q1232" s="9">
        <v>1</v>
      </c>
      <c r="R1232" s="9">
        <v>1</v>
      </c>
      <c r="S1232" s="9">
        <v>1</v>
      </c>
      <c r="T1232" s="9">
        <v>1</v>
      </c>
      <c r="U1232" s="9">
        <v>1</v>
      </c>
      <c r="V1232" s="9">
        <v>1</v>
      </c>
      <c r="W1232" s="9">
        <v>1</v>
      </c>
      <c r="X1232" s="1">
        <f t="shared" si="9"/>
        <v>12</v>
      </c>
    </row>
    <row r="1233" spans="2:24" ht="13.2" x14ac:dyDescent="0.25">
      <c r="B1233" s="110"/>
      <c r="C1233" s="9">
        <v>2022</v>
      </c>
      <c r="D1233" s="9">
        <v>1</v>
      </c>
      <c r="E1233" s="9">
        <v>1</v>
      </c>
      <c r="F1233" s="9">
        <v>1</v>
      </c>
      <c r="G1233" s="9">
        <v>0</v>
      </c>
      <c r="H1233" s="9">
        <v>1</v>
      </c>
      <c r="I1233" s="9">
        <v>0</v>
      </c>
      <c r="J1233" s="9">
        <v>1</v>
      </c>
      <c r="K1233" s="9">
        <v>0</v>
      </c>
      <c r="L1233" s="9">
        <v>0</v>
      </c>
      <c r="M1233" s="9">
        <v>1</v>
      </c>
      <c r="N1233" s="9">
        <v>0</v>
      </c>
      <c r="O1233" s="9">
        <v>0</v>
      </c>
      <c r="P1233" s="9">
        <v>1</v>
      </c>
      <c r="Q1233" s="9">
        <v>0</v>
      </c>
      <c r="R1233" s="9">
        <v>0</v>
      </c>
      <c r="S1233" s="9">
        <v>1</v>
      </c>
      <c r="T1233" s="9">
        <v>1</v>
      </c>
      <c r="U1233" s="9">
        <v>0</v>
      </c>
      <c r="V1233" s="9">
        <v>0</v>
      </c>
      <c r="W1233" s="9">
        <v>1</v>
      </c>
      <c r="X1233" s="1">
        <f t="shared" si="9"/>
        <v>10</v>
      </c>
    </row>
    <row r="1234" spans="2:24" ht="13.2" x14ac:dyDescent="0.25">
      <c r="B1234" s="108" t="s">
        <v>186</v>
      </c>
      <c r="C1234" s="9">
        <v>2018</v>
      </c>
      <c r="D1234" s="9">
        <v>0</v>
      </c>
      <c r="E1234" s="9">
        <v>0</v>
      </c>
      <c r="F1234" s="9">
        <v>0</v>
      </c>
      <c r="G1234" s="9">
        <v>1</v>
      </c>
      <c r="H1234" s="9">
        <v>1</v>
      </c>
      <c r="I1234" s="9">
        <v>0</v>
      </c>
      <c r="J1234" s="9">
        <v>0</v>
      </c>
      <c r="K1234" s="9">
        <v>0</v>
      </c>
      <c r="L1234" s="9">
        <v>0</v>
      </c>
      <c r="M1234" s="9">
        <v>0</v>
      </c>
      <c r="N1234" s="9">
        <v>1</v>
      </c>
      <c r="O1234" s="9">
        <v>0</v>
      </c>
      <c r="P1234" s="9">
        <v>1</v>
      </c>
      <c r="Q1234" s="9">
        <v>0</v>
      </c>
      <c r="R1234" s="9">
        <v>1</v>
      </c>
      <c r="S1234" s="9">
        <v>0</v>
      </c>
      <c r="T1234" s="9">
        <v>0</v>
      </c>
      <c r="U1234" s="9">
        <v>1</v>
      </c>
      <c r="V1234" s="9">
        <v>0</v>
      </c>
      <c r="W1234" s="9">
        <v>1</v>
      </c>
      <c r="X1234" s="1">
        <f t="shared" si="9"/>
        <v>7</v>
      </c>
    </row>
    <row r="1235" spans="2:24" ht="13.2" x14ac:dyDescent="0.25">
      <c r="B1235" s="109"/>
      <c r="C1235" s="9">
        <v>2019</v>
      </c>
      <c r="D1235" s="9">
        <v>0</v>
      </c>
      <c r="E1235" s="9">
        <v>0</v>
      </c>
      <c r="F1235" s="9">
        <v>1</v>
      </c>
      <c r="G1235" s="9">
        <v>0</v>
      </c>
      <c r="H1235" s="9">
        <v>1</v>
      </c>
      <c r="I1235" s="9">
        <v>1</v>
      </c>
      <c r="J1235" s="9">
        <v>1</v>
      </c>
      <c r="K1235" s="9">
        <v>1</v>
      </c>
      <c r="L1235" s="9">
        <v>1</v>
      </c>
      <c r="M1235" s="9">
        <v>0</v>
      </c>
      <c r="N1235" s="9">
        <v>1</v>
      </c>
      <c r="O1235" s="9">
        <v>0</v>
      </c>
      <c r="P1235" s="9">
        <v>0</v>
      </c>
      <c r="Q1235" s="9">
        <v>0</v>
      </c>
      <c r="R1235" s="9">
        <v>1</v>
      </c>
      <c r="S1235" s="9">
        <v>1</v>
      </c>
      <c r="T1235" s="9">
        <v>0</v>
      </c>
      <c r="U1235" s="9">
        <v>0</v>
      </c>
      <c r="V1235" s="9">
        <v>0</v>
      </c>
      <c r="W1235" s="9">
        <v>1</v>
      </c>
      <c r="X1235" s="1">
        <f t="shared" si="9"/>
        <v>10</v>
      </c>
    </row>
    <row r="1236" spans="2:24" ht="13.2" x14ac:dyDescent="0.25">
      <c r="B1236" s="109"/>
      <c r="C1236" s="9">
        <v>2020</v>
      </c>
      <c r="D1236" s="9">
        <v>1</v>
      </c>
      <c r="E1236" s="9">
        <v>1</v>
      </c>
      <c r="F1236" s="9">
        <v>0</v>
      </c>
      <c r="G1236" s="9">
        <v>0</v>
      </c>
      <c r="H1236" s="9">
        <v>1</v>
      </c>
      <c r="I1236" s="9">
        <v>0</v>
      </c>
      <c r="J1236" s="9">
        <v>0</v>
      </c>
      <c r="K1236" s="9">
        <v>1</v>
      </c>
      <c r="L1236" s="9">
        <v>1</v>
      </c>
      <c r="M1236" s="9">
        <v>0</v>
      </c>
      <c r="N1236" s="9">
        <v>1</v>
      </c>
      <c r="O1236" s="9">
        <v>0</v>
      </c>
      <c r="P1236" s="9">
        <v>0</v>
      </c>
      <c r="Q1236" s="9">
        <v>1</v>
      </c>
      <c r="R1236" s="9">
        <v>1</v>
      </c>
      <c r="S1236" s="9">
        <v>0</v>
      </c>
      <c r="T1236" s="9">
        <v>1</v>
      </c>
      <c r="U1236" s="9">
        <v>0</v>
      </c>
      <c r="V1236" s="9">
        <v>0</v>
      </c>
      <c r="W1236" s="9">
        <v>1</v>
      </c>
      <c r="X1236" s="1">
        <f t="shared" si="9"/>
        <v>10</v>
      </c>
    </row>
    <row r="1237" spans="2:24" ht="13.2" x14ac:dyDescent="0.25">
      <c r="B1237" s="109"/>
      <c r="C1237" s="9">
        <v>2021</v>
      </c>
      <c r="D1237" s="9">
        <v>1</v>
      </c>
      <c r="E1237" s="9">
        <v>1</v>
      </c>
      <c r="F1237" s="9">
        <v>0</v>
      </c>
      <c r="G1237" s="9">
        <v>0</v>
      </c>
      <c r="H1237" s="9">
        <v>0</v>
      </c>
      <c r="I1237" s="9">
        <v>1</v>
      </c>
      <c r="J1237" s="9">
        <v>0</v>
      </c>
      <c r="K1237" s="9">
        <v>1</v>
      </c>
      <c r="L1237" s="9">
        <v>1</v>
      </c>
      <c r="M1237" s="9">
        <v>0</v>
      </c>
      <c r="N1237" s="9">
        <v>1</v>
      </c>
      <c r="O1237" s="9">
        <v>0</v>
      </c>
      <c r="P1237" s="9">
        <v>0</v>
      </c>
      <c r="Q1237" s="9">
        <v>1</v>
      </c>
      <c r="R1237" s="9">
        <v>1</v>
      </c>
      <c r="S1237" s="9">
        <v>0</v>
      </c>
      <c r="T1237" s="9">
        <v>0</v>
      </c>
      <c r="U1237" s="9">
        <v>0</v>
      </c>
      <c r="V1237" s="9">
        <v>1</v>
      </c>
      <c r="W1237" s="9">
        <v>0</v>
      </c>
      <c r="X1237" s="1">
        <f t="shared" si="9"/>
        <v>9</v>
      </c>
    </row>
    <row r="1238" spans="2:24" ht="13.2" x14ac:dyDescent="0.25">
      <c r="B1238" s="110"/>
      <c r="C1238" s="9">
        <v>2022</v>
      </c>
      <c r="D1238" s="9">
        <v>1</v>
      </c>
      <c r="E1238" s="9">
        <v>1</v>
      </c>
      <c r="F1238" s="9">
        <v>1</v>
      </c>
      <c r="G1238" s="9">
        <v>1</v>
      </c>
      <c r="H1238" s="9">
        <v>1</v>
      </c>
      <c r="I1238" s="9">
        <v>1</v>
      </c>
      <c r="J1238" s="9">
        <v>1</v>
      </c>
      <c r="K1238" s="9">
        <v>1</v>
      </c>
      <c r="L1238" s="9">
        <v>1</v>
      </c>
      <c r="M1238" s="9">
        <v>1</v>
      </c>
      <c r="N1238" s="9">
        <v>1</v>
      </c>
      <c r="O1238" s="9">
        <v>0</v>
      </c>
      <c r="P1238" s="9">
        <v>0</v>
      </c>
      <c r="Q1238" s="9">
        <v>1</v>
      </c>
      <c r="R1238" s="9">
        <v>1</v>
      </c>
      <c r="S1238" s="9">
        <v>1</v>
      </c>
      <c r="T1238" s="9">
        <v>1</v>
      </c>
      <c r="U1238" s="9">
        <v>0</v>
      </c>
      <c r="V1238" s="9">
        <v>0</v>
      </c>
      <c r="W1238" s="9">
        <v>0</v>
      </c>
      <c r="X1238" s="1">
        <f t="shared" si="9"/>
        <v>15</v>
      </c>
    </row>
    <row r="1239" spans="2:24" ht="13.2" x14ac:dyDescent="0.25">
      <c r="B1239" s="2"/>
      <c r="C1239" s="2"/>
      <c r="D1239" s="2"/>
      <c r="E1239" s="2"/>
      <c r="F1239" s="2"/>
      <c r="G1239" s="2"/>
      <c r="H1239" s="2"/>
      <c r="I1239" s="2"/>
      <c r="J1239" s="2"/>
      <c r="K1239" s="2"/>
      <c r="L1239" s="2"/>
    </row>
    <row r="1240" spans="2:24" ht="13.2" x14ac:dyDescent="0.25">
      <c r="B1240" s="2"/>
      <c r="C1240" s="2"/>
      <c r="D1240" s="2"/>
      <c r="E1240" s="2"/>
      <c r="F1240" s="2"/>
      <c r="G1240" s="2"/>
      <c r="H1240" s="2"/>
      <c r="I1240" s="2"/>
      <c r="J1240" s="2"/>
      <c r="K1240" s="2"/>
      <c r="L1240" s="2"/>
    </row>
    <row r="1241" spans="2:24" ht="13.2" x14ac:dyDescent="0.25">
      <c r="B1241" s="2"/>
      <c r="C1241" s="2"/>
      <c r="D1241" s="2"/>
      <c r="E1241" s="2"/>
      <c r="F1241" s="2"/>
      <c r="G1241" s="2"/>
      <c r="H1241" s="2"/>
      <c r="I1241" s="2"/>
      <c r="J1241" s="2"/>
      <c r="K1241" s="2"/>
      <c r="L1241" s="2"/>
    </row>
    <row r="1242" spans="2:24" ht="13.2" x14ac:dyDescent="0.25">
      <c r="B1242" s="2"/>
      <c r="C1242" s="2"/>
      <c r="D1242" s="2"/>
      <c r="E1242" s="2"/>
      <c r="F1242" s="2"/>
      <c r="G1242" s="2"/>
      <c r="H1242" s="2"/>
      <c r="I1242" s="2"/>
      <c r="J1242" s="2"/>
      <c r="K1242" s="2"/>
      <c r="L1242" s="2"/>
    </row>
    <row r="1243" spans="2:24" ht="13.2" x14ac:dyDescent="0.25">
      <c r="B1243" s="2"/>
      <c r="C1243" s="2"/>
      <c r="D1243" s="2"/>
      <c r="E1243" s="2"/>
      <c r="F1243" s="2"/>
      <c r="G1243" s="2"/>
      <c r="H1243" s="2"/>
      <c r="I1243" s="2"/>
      <c r="J1243" s="2"/>
      <c r="K1243" s="2"/>
      <c r="L1243" s="2"/>
    </row>
    <row r="1244" spans="2:24" ht="13.2" x14ac:dyDescent="0.25">
      <c r="B1244" s="2"/>
      <c r="C1244" s="2"/>
      <c r="D1244" s="2"/>
      <c r="E1244" s="2"/>
      <c r="F1244" s="2"/>
      <c r="G1244" s="2"/>
      <c r="H1244" s="2"/>
      <c r="I1244" s="2"/>
      <c r="J1244" s="2"/>
      <c r="K1244" s="2"/>
      <c r="L1244" s="2"/>
    </row>
    <row r="1245" spans="2:24" ht="13.2" x14ac:dyDescent="0.25">
      <c r="B1245" s="2"/>
      <c r="C1245" s="2"/>
      <c r="D1245" s="2"/>
      <c r="E1245" s="2"/>
      <c r="F1245" s="2"/>
      <c r="G1245" s="2"/>
      <c r="H1245" s="2"/>
      <c r="I1245" s="2"/>
      <c r="J1245" s="2"/>
      <c r="K1245" s="2"/>
      <c r="L1245" s="2"/>
    </row>
    <row r="1246" spans="2:24" ht="13.2" x14ac:dyDescent="0.25">
      <c r="B1246" s="2"/>
      <c r="C1246" s="2"/>
      <c r="D1246" s="2"/>
      <c r="E1246" s="2"/>
      <c r="F1246" s="2"/>
      <c r="G1246" s="2"/>
      <c r="H1246" s="2"/>
      <c r="I1246" s="2"/>
      <c r="J1246" s="2"/>
      <c r="K1246" s="2"/>
      <c r="L1246" s="2"/>
    </row>
    <row r="1247" spans="2:24" ht="13.2" x14ac:dyDescent="0.25">
      <c r="B1247" s="2"/>
      <c r="C1247" s="2"/>
      <c r="D1247" s="2"/>
      <c r="E1247" s="2"/>
      <c r="F1247" s="2"/>
      <c r="G1247" s="2"/>
      <c r="H1247" s="2"/>
      <c r="I1247" s="2"/>
      <c r="J1247" s="2"/>
      <c r="K1247" s="2"/>
      <c r="L1247" s="2"/>
    </row>
    <row r="1248" spans="2:24" ht="13.2" x14ac:dyDescent="0.25">
      <c r="B1248" s="2"/>
      <c r="C1248" s="2"/>
      <c r="D1248" s="2"/>
      <c r="E1248" s="2"/>
      <c r="F1248" s="2"/>
      <c r="G1248" s="2"/>
      <c r="H1248" s="2"/>
      <c r="I1248" s="2"/>
      <c r="J1248" s="2"/>
      <c r="K1248" s="2"/>
      <c r="L1248" s="2"/>
    </row>
    <row r="1249" spans="2:12" ht="13.2" x14ac:dyDescent="0.25">
      <c r="B1249" s="2"/>
      <c r="C1249" s="2"/>
      <c r="D1249" s="2"/>
      <c r="E1249" s="2"/>
      <c r="F1249" s="2"/>
      <c r="G1249" s="2"/>
      <c r="H1249" s="2"/>
      <c r="I1249" s="2"/>
      <c r="J1249" s="2"/>
      <c r="K1249" s="2"/>
      <c r="L1249" s="2"/>
    </row>
    <row r="1250" spans="2:12" ht="13.2" x14ac:dyDescent="0.25">
      <c r="B1250" s="2"/>
      <c r="C1250" s="2"/>
      <c r="D1250" s="2"/>
      <c r="E1250" s="2"/>
      <c r="F1250" s="2"/>
      <c r="G1250" s="2"/>
      <c r="H1250" s="2"/>
      <c r="I1250" s="2"/>
      <c r="J1250" s="2"/>
      <c r="K1250" s="2"/>
      <c r="L1250" s="2"/>
    </row>
    <row r="1251" spans="2:12" ht="13.2" x14ac:dyDescent="0.25">
      <c r="B1251" s="2"/>
      <c r="C1251" s="2"/>
      <c r="D1251" s="2"/>
      <c r="E1251" s="2"/>
      <c r="F1251" s="2"/>
      <c r="G1251" s="2"/>
      <c r="H1251" s="2"/>
      <c r="I1251" s="2"/>
      <c r="J1251" s="2"/>
      <c r="K1251" s="2"/>
      <c r="L1251" s="2"/>
    </row>
    <row r="1252" spans="2:12" ht="13.2" x14ac:dyDescent="0.25">
      <c r="B1252" s="2"/>
      <c r="C1252" s="2"/>
      <c r="D1252" s="2"/>
      <c r="E1252" s="2"/>
      <c r="F1252" s="2"/>
      <c r="G1252" s="2"/>
      <c r="H1252" s="2"/>
      <c r="I1252" s="2"/>
      <c r="J1252" s="2"/>
      <c r="K1252" s="2"/>
      <c r="L1252" s="2"/>
    </row>
    <row r="1253" spans="2:12" ht="13.2" x14ac:dyDescent="0.25">
      <c r="B1253" s="2"/>
      <c r="C1253" s="2"/>
      <c r="D1253" s="2"/>
      <c r="E1253" s="2"/>
      <c r="F1253" s="2"/>
      <c r="G1253" s="2"/>
      <c r="H1253" s="2"/>
      <c r="I1253" s="2"/>
      <c r="J1253" s="2"/>
      <c r="K1253" s="2"/>
      <c r="L1253" s="2"/>
    </row>
    <row r="1254" spans="2:12" ht="13.2" x14ac:dyDescent="0.25">
      <c r="B1254" s="2"/>
      <c r="C1254" s="2"/>
      <c r="D1254" s="2"/>
      <c r="E1254" s="2"/>
      <c r="F1254" s="2"/>
      <c r="G1254" s="2"/>
      <c r="H1254" s="2"/>
      <c r="I1254" s="2"/>
      <c r="J1254" s="2"/>
      <c r="K1254" s="2"/>
      <c r="L1254" s="2"/>
    </row>
    <row r="1255" spans="2:12" ht="13.2" x14ac:dyDescent="0.25">
      <c r="B1255" s="2"/>
      <c r="C1255" s="2"/>
      <c r="D1255" s="2"/>
      <c r="E1255" s="2"/>
      <c r="F1255" s="2"/>
      <c r="G1255" s="2"/>
      <c r="H1255" s="2"/>
      <c r="I1255" s="2"/>
      <c r="J1255" s="2"/>
      <c r="K1255" s="2"/>
      <c r="L1255" s="2"/>
    </row>
    <row r="1256" spans="2:12" ht="13.2" x14ac:dyDescent="0.25">
      <c r="B1256" s="2"/>
      <c r="C1256" s="2"/>
      <c r="D1256" s="2"/>
      <c r="E1256" s="2"/>
      <c r="F1256" s="2"/>
      <c r="G1256" s="2"/>
      <c r="H1256" s="2"/>
      <c r="I1256" s="2"/>
      <c r="J1256" s="2"/>
      <c r="K1256" s="2"/>
      <c r="L1256" s="2"/>
    </row>
    <row r="1257" spans="2:12" ht="13.2" x14ac:dyDescent="0.25">
      <c r="B1257" s="2"/>
      <c r="C1257" s="2"/>
      <c r="D1257" s="2"/>
      <c r="E1257" s="2"/>
      <c r="F1257" s="2"/>
      <c r="G1257" s="2"/>
      <c r="H1257" s="2"/>
      <c r="I1257" s="2"/>
      <c r="J1257" s="2"/>
      <c r="K1257" s="2"/>
      <c r="L1257" s="2"/>
    </row>
    <row r="1258" spans="2:12" ht="13.2" x14ac:dyDescent="0.25">
      <c r="B1258" s="2"/>
      <c r="C1258" s="2"/>
      <c r="D1258" s="2"/>
      <c r="E1258" s="2"/>
      <c r="F1258" s="2"/>
      <c r="G1258" s="2"/>
      <c r="H1258" s="2"/>
      <c r="I1258" s="2"/>
      <c r="J1258" s="2"/>
      <c r="K1258" s="2"/>
      <c r="L1258" s="2"/>
    </row>
    <row r="1259" spans="2:12" ht="13.2" x14ac:dyDescent="0.25">
      <c r="B1259" s="2"/>
      <c r="C1259" s="2"/>
      <c r="D1259" s="2"/>
      <c r="E1259" s="2"/>
      <c r="F1259" s="2"/>
      <c r="G1259" s="2"/>
      <c r="H1259" s="2"/>
      <c r="I1259" s="2"/>
      <c r="J1259" s="2"/>
      <c r="K1259" s="2"/>
      <c r="L1259" s="2"/>
    </row>
    <row r="1260" spans="2:12" ht="13.2" x14ac:dyDescent="0.25">
      <c r="B1260" s="2"/>
      <c r="C1260" s="2"/>
      <c r="D1260" s="2"/>
      <c r="E1260" s="2"/>
      <c r="F1260" s="2"/>
      <c r="G1260" s="2"/>
      <c r="H1260" s="2"/>
      <c r="I1260" s="2"/>
      <c r="J1260" s="2"/>
      <c r="K1260" s="2"/>
      <c r="L1260" s="2"/>
    </row>
    <row r="1261" spans="2:12" ht="13.2" x14ac:dyDescent="0.25">
      <c r="B1261" s="2"/>
      <c r="C1261" s="2"/>
      <c r="D1261" s="2"/>
      <c r="E1261" s="2"/>
      <c r="F1261" s="2"/>
      <c r="G1261" s="2"/>
      <c r="H1261" s="2"/>
      <c r="I1261" s="2"/>
      <c r="J1261" s="2"/>
      <c r="K1261" s="2"/>
      <c r="L1261" s="2"/>
    </row>
    <row r="1262" spans="2:12" ht="13.2" x14ac:dyDescent="0.25">
      <c r="B1262" s="2"/>
      <c r="C1262" s="2"/>
      <c r="D1262" s="2"/>
      <c r="E1262" s="2"/>
      <c r="F1262" s="2"/>
      <c r="G1262" s="2"/>
      <c r="H1262" s="2"/>
      <c r="I1262" s="2"/>
      <c r="J1262" s="2"/>
      <c r="K1262" s="2"/>
      <c r="L1262" s="2"/>
    </row>
    <row r="1263" spans="2:12" ht="13.2" x14ac:dyDescent="0.25">
      <c r="B1263" s="2"/>
      <c r="C1263" s="2"/>
      <c r="D1263" s="2"/>
      <c r="E1263" s="2"/>
      <c r="F1263" s="2"/>
      <c r="G1263" s="2"/>
      <c r="H1263" s="2"/>
      <c r="I1263" s="2"/>
      <c r="J1263" s="2"/>
      <c r="K1263" s="2"/>
      <c r="L1263" s="2"/>
    </row>
    <row r="1264" spans="2:12" ht="13.2" x14ac:dyDescent="0.25">
      <c r="B1264" s="2"/>
      <c r="C1264" s="2"/>
      <c r="D1264" s="2"/>
      <c r="E1264" s="2"/>
      <c r="F1264" s="2"/>
      <c r="G1264" s="2"/>
      <c r="H1264" s="2"/>
      <c r="I1264" s="2"/>
      <c r="J1264" s="2"/>
      <c r="K1264" s="2"/>
      <c r="L1264" s="2"/>
    </row>
    <row r="1265" spans="2:12" ht="13.2" x14ac:dyDescent="0.25">
      <c r="B1265" s="2"/>
      <c r="C1265" s="2"/>
      <c r="D1265" s="2"/>
      <c r="E1265" s="2"/>
      <c r="F1265" s="2"/>
      <c r="G1265" s="2"/>
      <c r="H1265" s="2"/>
      <c r="I1265" s="2"/>
      <c r="J1265" s="2"/>
      <c r="K1265" s="2"/>
      <c r="L1265" s="2"/>
    </row>
    <row r="1266" spans="2:12" ht="13.2" x14ac:dyDescent="0.25">
      <c r="B1266" s="2"/>
      <c r="C1266" s="2"/>
      <c r="D1266" s="2"/>
      <c r="E1266" s="2"/>
      <c r="F1266" s="2"/>
      <c r="G1266" s="2"/>
      <c r="H1266" s="2"/>
      <c r="I1266" s="2"/>
      <c r="J1266" s="2"/>
      <c r="K1266" s="2"/>
      <c r="L1266" s="2"/>
    </row>
    <row r="1267" spans="2:12" ht="13.2" x14ac:dyDescent="0.25">
      <c r="B1267" s="2"/>
      <c r="C1267" s="2"/>
      <c r="D1267" s="2"/>
      <c r="E1267" s="2"/>
      <c r="F1267" s="2"/>
      <c r="G1267" s="2"/>
      <c r="H1267" s="2"/>
      <c r="I1267" s="2"/>
      <c r="J1267" s="2"/>
      <c r="K1267" s="2"/>
      <c r="L1267" s="2"/>
    </row>
    <row r="1268" spans="2:12" ht="13.2" x14ac:dyDescent="0.25">
      <c r="B1268" s="2"/>
      <c r="C1268" s="2"/>
      <c r="D1268" s="2"/>
      <c r="E1268" s="2"/>
      <c r="F1268" s="2"/>
      <c r="G1268" s="2"/>
      <c r="H1268" s="2"/>
      <c r="I1268" s="2"/>
      <c r="J1268" s="2"/>
      <c r="K1268" s="2"/>
      <c r="L1268" s="2"/>
    </row>
    <row r="1269" spans="2:12" ht="13.2" x14ac:dyDescent="0.25">
      <c r="B1269" s="2"/>
      <c r="C1269" s="2"/>
      <c r="D1269" s="2"/>
      <c r="E1269" s="2"/>
      <c r="F1269" s="2"/>
      <c r="G1269" s="2"/>
      <c r="H1269" s="2"/>
      <c r="I1269" s="2"/>
      <c r="J1269" s="2"/>
      <c r="K1269" s="2"/>
      <c r="L1269" s="2"/>
    </row>
    <row r="1270" spans="2:12" ht="13.2" x14ac:dyDescent="0.25">
      <c r="B1270" s="2"/>
      <c r="C1270" s="2"/>
      <c r="D1270" s="2"/>
      <c r="E1270" s="2"/>
      <c r="F1270" s="2"/>
      <c r="G1270" s="2"/>
      <c r="H1270" s="2"/>
      <c r="I1270" s="2"/>
      <c r="J1270" s="2"/>
      <c r="K1270" s="2"/>
      <c r="L1270" s="2"/>
    </row>
    <row r="1271" spans="2:12" ht="13.2" x14ac:dyDescent="0.25">
      <c r="B1271" s="2"/>
      <c r="C1271" s="2"/>
      <c r="D1271" s="2"/>
      <c r="E1271" s="2"/>
      <c r="F1271" s="2"/>
      <c r="G1271" s="2"/>
      <c r="H1271" s="2"/>
      <c r="I1271" s="2"/>
      <c r="J1271" s="2"/>
      <c r="K1271" s="2"/>
      <c r="L1271" s="2"/>
    </row>
    <row r="1272" spans="2:12" ht="13.2" x14ac:dyDescent="0.25">
      <c r="B1272" s="2"/>
      <c r="C1272" s="2"/>
      <c r="D1272" s="2"/>
      <c r="E1272" s="2"/>
      <c r="F1272" s="2"/>
      <c r="G1272" s="2"/>
      <c r="H1272" s="2"/>
      <c r="I1272" s="2"/>
      <c r="J1272" s="2"/>
      <c r="K1272" s="2"/>
      <c r="L1272" s="2"/>
    </row>
    <row r="1273" spans="2:12" ht="13.2" x14ac:dyDescent="0.25">
      <c r="B1273" s="2"/>
      <c r="C1273" s="2"/>
      <c r="D1273" s="2"/>
      <c r="E1273" s="2"/>
      <c r="F1273" s="2"/>
      <c r="G1273" s="2"/>
      <c r="H1273" s="2"/>
      <c r="I1273" s="2"/>
      <c r="J1273" s="2"/>
      <c r="K1273" s="2"/>
      <c r="L1273" s="2"/>
    </row>
    <row r="1274" spans="2:12" ht="13.2" x14ac:dyDescent="0.25">
      <c r="B1274" s="2"/>
      <c r="C1274" s="2"/>
      <c r="D1274" s="2"/>
      <c r="E1274" s="2"/>
      <c r="F1274" s="2"/>
      <c r="G1274" s="2"/>
      <c r="H1274" s="2"/>
      <c r="I1274" s="2"/>
      <c r="J1274" s="2"/>
      <c r="K1274" s="2"/>
      <c r="L1274" s="2"/>
    </row>
    <row r="1275" spans="2:12" ht="13.2" x14ac:dyDescent="0.25">
      <c r="B1275" s="2"/>
      <c r="C1275" s="2"/>
      <c r="D1275" s="2"/>
      <c r="E1275" s="2"/>
      <c r="F1275" s="2"/>
      <c r="G1275" s="2"/>
      <c r="H1275" s="2"/>
      <c r="I1275" s="2"/>
      <c r="J1275" s="2"/>
      <c r="K1275" s="2"/>
      <c r="L1275" s="2"/>
    </row>
    <row r="1276" spans="2:12" ht="13.2" x14ac:dyDescent="0.25">
      <c r="B1276" s="2"/>
      <c r="C1276" s="2"/>
      <c r="D1276" s="2"/>
      <c r="E1276" s="2"/>
      <c r="F1276" s="2"/>
      <c r="G1276" s="2"/>
      <c r="H1276" s="2"/>
      <c r="I1276" s="2"/>
      <c r="J1276" s="2"/>
      <c r="K1276" s="2"/>
      <c r="L1276" s="2"/>
    </row>
    <row r="1277" spans="2:12" ht="13.2" x14ac:dyDescent="0.25">
      <c r="B1277" s="2"/>
      <c r="C1277" s="2"/>
      <c r="D1277" s="2"/>
      <c r="E1277" s="2"/>
      <c r="F1277" s="2"/>
      <c r="G1277" s="2"/>
      <c r="H1277" s="2"/>
      <c r="I1277" s="2"/>
      <c r="J1277" s="2"/>
      <c r="K1277" s="2"/>
      <c r="L1277" s="2"/>
    </row>
    <row r="1278" spans="2:12" ht="13.2" x14ac:dyDescent="0.25">
      <c r="B1278" s="2"/>
      <c r="C1278" s="2"/>
      <c r="D1278" s="2"/>
      <c r="E1278" s="2"/>
      <c r="F1278" s="2"/>
      <c r="G1278" s="2"/>
      <c r="H1278" s="2"/>
      <c r="I1278" s="2"/>
      <c r="J1278" s="2"/>
      <c r="K1278" s="2"/>
      <c r="L1278" s="2"/>
    </row>
    <row r="1279" spans="2:12" ht="13.2" x14ac:dyDescent="0.25">
      <c r="B1279" s="2"/>
      <c r="C1279" s="2"/>
      <c r="D1279" s="2"/>
      <c r="E1279" s="2"/>
      <c r="F1279" s="2"/>
      <c r="G1279" s="2"/>
      <c r="H1279" s="2"/>
      <c r="I1279" s="2"/>
      <c r="J1279" s="2"/>
      <c r="K1279" s="2"/>
      <c r="L1279" s="2"/>
    </row>
    <row r="1280" spans="2:12" ht="13.2" x14ac:dyDescent="0.25">
      <c r="B1280" s="2"/>
      <c r="C1280" s="2"/>
      <c r="D1280" s="2"/>
      <c r="E1280" s="2"/>
      <c r="F1280" s="2"/>
      <c r="G1280" s="2"/>
      <c r="H1280" s="2"/>
      <c r="I1280" s="2"/>
      <c r="J1280" s="2"/>
      <c r="K1280" s="2"/>
      <c r="L1280" s="2"/>
    </row>
    <row r="1281" spans="2:12" ht="13.2" x14ac:dyDescent="0.25">
      <c r="B1281" s="2"/>
      <c r="C1281" s="2"/>
      <c r="D1281" s="2"/>
      <c r="E1281" s="2"/>
      <c r="F1281" s="2"/>
      <c r="G1281" s="2"/>
      <c r="H1281" s="2"/>
      <c r="I1281" s="2"/>
      <c r="J1281" s="2"/>
      <c r="K1281" s="2"/>
      <c r="L1281" s="2"/>
    </row>
    <row r="1282" spans="2:12" ht="13.2" x14ac:dyDescent="0.25">
      <c r="B1282" s="2"/>
      <c r="C1282" s="2"/>
      <c r="D1282" s="2"/>
      <c r="E1282" s="2"/>
      <c r="F1282" s="2"/>
      <c r="G1282" s="2"/>
      <c r="H1282" s="2"/>
      <c r="I1282" s="2"/>
      <c r="J1282" s="2"/>
      <c r="K1282" s="2"/>
      <c r="L1282" s="2"/>
    </row>
    <row r="1283" spans="2:12" ht="13.2" x14ac:dyDescent="0.25">
      <c r="B1283" s="2"/>
      <c r="C1283" s="2"/>
      <c r="D1283" s="2"/>
      <c r="E1283" s="2"/>
      <c r="F1283" s="2"/>
      <c r="G1283" s="2"/>
      <c r="H1283" s="2"/>
      <c r="I1283" s="2"/>
      <c r="J1283" s="2"/>
      <c r="K1283" s="2"/>
      <c r="L1283" s="2"/>
    </row>
    <row r="1284" spans="2:12" ht="13.2" x14ac:dyDescent="0.25">
      <c r="B1284" s="2"/>
      <c r="C1284" s="2"/>
      <c r="D1284" s="2"/>
      <c r="E1284" s="2"/>
      <c r="F1284" s="2"/>
      <c r="G1284" s="2"/>
      <c r="H1284" s="2"/>
      <c r="I1284" s="2"/>
      <c r="J1284" s="2"/>
      <c r="K1284" s="2"/>
      <c r="L1284" s="2"/>
    </row>
    <row r="1285" spans="2:12" ht="13.2" x14ac:dyDescent="0.25">
      <c r="B1285" s="2"/>
      <c r="C1285" s="2"/>
      <c r="D1285" s="2"/>
      <c r="E1285" s="2"/>
      <c r="F1285" s="2"/>
      <c r="G1285" s="2"/>
      <c r="H1285" s="2"/>
      <c r="I1285" s="2"/>
      <c r="J1285" s="2"/>
      <c r="K1285" s="2"/>
      <c r="L1285" s="2"/>
    </row>
    <row r="1286" spans="2:12" ht="13.2" x14ac:dyDescent="0.25">
      <c r="B1286" s="2"/>
      <c r="C1286" s="2"/>
      <c r="D1286" s="2"/>
      <c r="E1286" s="2"/>
      <c r="F1286" s="2"/>
      <c r="G1286" s="2"/>
      <c r="H1286" s="2"/>
      <c r="I1286" s="2"/>
      <c r="J1286" s="2"/>
      <c r="K1286" s="2"/>
      <c r="L1286" s="2"/>
    </row>
    <row r="1287" spans="2:12" ht="13.2" x14ac:dyDescent="0.25">
      <c r="B1287" s="2"/>
      <c r="C1287" s="2"/>
      <c r="D1287" s="2"/>
      <c r="E1287" s="2"/>
      <c r="F1287" s="2"/>
      <c r="G1287" s="2"/>
      <c r="H1287" s="2"/>
      <c r="I1287" s="2"/>
      <c r="J1287" s="2"/>
      <c r="K1287" s="2"/>
      <c r="L1287" s="2"/>
    </row>
    <row r="1288" spans="2:12" ht="13.2" x14ac:dyDescent="0.25">
      <c r="B1288" s="2"/>
      <c r="C1288" s="2"/>
      <c r="D1288" s="2"/>
      <c r="E1288" s="2"/>
      <c r="F1288" s="2"/>
      <c r="G1288" s="2"/>
      <c r="H1288" s="2"/>
      <c r="I1288" s="2"/>
      <c r="J1288" s="2"/>
      <c r="K1288" s="2"/>
      <c r="L1288" s="2"/>
    </row>
    <row r="1289" spans="2:12" ht="13.2" x14ac:dyDescent="0.25">
      <c r="B1289" s="2"/>
      <c r="C1289" s="2"/>
      <c r="D1289" s="2"/>
      <c r="E1289" s="2"/>
      <c r="F1289" s="2"/>
      <c r="G1289" s="2"/>
      <c r="H1289" s="2"/>
      <c r="I1289" s="2"/>
      <c r="J1289" s="2"/>
      <c r="K1289" s="2"/>
      <c r="L1289" s="2"/>
    </row>
    <row r="1290" spans="2:12" ht="13.2" x14ac:dyDescent="0.25">
      <c r="B1290" s="2"/>
      <c r="C1290" s="2"/>
      <c r="D1290" s="2"/>
      <c r="E1290" s="2"/>
      <c r="F1290" s="2"/>
      <c r="G1290" s="2"/>
      <c r="H1290" s="2"/>
      <c r="I1290" s="2"/>
      <c r="J1290" s="2"/>
      <c r="K1290" s="2"/>
      <c r="L1290" s="2"/>
    </row>
    <row r="1291" spans="2:12" ht="13.2" x14ac:dyDescent="0.25">
      <c r="B1291" s="2"/>
      <c r="C1291" s="2"/>
      <c r="D1291" s="2"/>
      <c r="E1291" s="2"/>
      <c r="F1291" s="2"/>
      <c r="G1291" s="2"/>
      <c r="H1291" s="2"/>
      <c r="I1291" s="2"/>
      <c r="J1291" s="2"/>
      <c r="K1291" s="2"/>
      <c r="L1291" s="2"/>
    </row>
    <row r="1292" spans="2:12" ht="13.2" x14ac:dyDescent="0.25">
      <c r="B1292" s="2"/>
      <c r="C1292" s="2"/>
      <c r="D1292" s="2"/>
      <c r="E1292" s="2"/>
      <c r="F1292" s="2"/>
      <c r="G1292" s="2"/>
      <c r="H1292" s="2"/>
      <c r="I1292" s="2"/>
      <c r="J1292" s="2"/>
      <c r="K1292" s="2"/>
      <c r="L1292" s="2"/>
    </row>
    <row r="1293" spans="2:12" ht="13.2" x14ac:dyDescent="0.25">
      <c r="B1293" s="2"/>
      <c r="C1293" s="2"/>
      <c r="D1293" s="2"/>
      <c r="E1293" s="2"/>
      <c r="F1293" s="2"/>
      <c r="G1293" s="2"/>
      <c r="H1293" s="2"/>
      <c r="I1293" s="2"/>
      <c r="J1293" s="2"/>
      <c r="K1293" s="2"/>
      <c r="L1293" s="2"/>
    </row>
    <row r="1294" spans="2:12" ht="13.2" x14ac:dyDescent="0.25">
      <c r="B1294" s="2"/>
      <c r="C1294" s="2"/>
      <c r="D1294" s="2"/>
      <c r="E1294" s="2"/>
      <c r="F1294" s="2"/>
      <c r="G1294" s="2"/>
      <c r="H1294" s="2"/>
      <c r="I1294" s="2"/>
      <c r="J1294" s="2"/>
      <c r="K1294" s="2"/>
      <c r="L1294" s="2"/>
    </row>
    <row r="1295" spans="2:12" ht="13.2" x14ac:dyDescent="0.25">
      <c r="B1295" s="2"/>
      <c r="C1295" s="2"/>
      <c r="D1295" s="2"/>
      <c r="E1295" s="2"/>
      <c r="F1295" s="2"/>
      <c r="G1295" s="2"/>
      <c r="H1295" s="2"/>
      <c r="I1295" s="2"/>
      <c r="J1295" s="2"/>
      <c r="K1295" s="2"/>
      <c r="L1295" s="2"/>
    </row>
    <row r="1296" spans="2:12" ht="13.2" x14ac:dyDescent="0.25">
      <c r="B1296" s="2"/>
      <c r="C1296" s="2"/>
      <c r="D1296" s="2"/>
      <c r="E1296" s="2"/>
      <c r="F1296" s="2"/>
      <c r="G1296" s="2"/>
      <c r="H1296" s="2"/>
      <c r="I1296" s="2"/>
      <c r="J1296" s="2"/>
      <c r="K1296" s="2"/>
      <c r="L1296" s="2"/>
    </row>
    <row r="1297" spans="2:12" ht="13.2" x14ac:dyDescent="0.25">
      <c r="B1297" s="2"/>
      <c r="C1297" s="2"/>
      <c r="D1297" s="2"/>
      <c r="E1297" s="2"/>
      <c r="F1297" s="2"/>
      <c r="G1297" s="2"/>
      <c r="H1297" s="2"/>
      <c r="I1297" s="2"/>
      <c r="J1297" s="2"/>
      <c r="K1297" s="2"/>
      <c r="L1297" s="2"/>
    </row>
    <row r="1298" spans="2:12" ht="13.2" x14ac:dyDescent="0.25">
      <c r="B1298" s="2"/>
      <c r="C1298" s="2"/>
      <c r="D1298" s="2"/>
      <c r="E1298" s="2"/>
      <c r="F1298" s="2"/>
      <c r="G1298" s="2"/>
      <c r="H1298" s="2"/>
      <c r="I1298" s="2"/>
      <c r="J1298" s="2"/>
      <c r="K1298" s="2"/>
      <c r="L1298" s="2"/>
    </row>
    <row r="1299" spans="2:12" ht="13.2" x14ac:dyDescent="0.25">
      <c r="B1299" s="2"/>
      <c r="C1299" s="2"/>
      <c r="D1299" s="2"/>
      <c r="E1299" s="2"/>
      <c r="F1299" s="2"/>
      <c r="G1299" s="2"/>
      <c r="H1299" s="2"/>
      <c r="I1299" s="2"/>
      <c r="J1299" s="2"/>
      <c r="K1299" s="2"/>
      <c r="L1299" s="2"/>
    </row>
    <row r="1300" spans="2:12" ht="13.2" x14ac:dyDescent="0.25">
      <c r="B1300" s="2"/>
      <c r="C1300" s="2"/>
      <c r="D1300" s="2"/>
      <c r="E1300" s="2"/>
      <c r="F1300" s="2"/>
      <c r="G1300" s="2"/>
      <c r="H1300" s="2"/>
      <c r="I1300" s="2"/>
      <c r="J1300" s="2"/>
      <c r="K1300" s="2"/>
      <c r="L1300" s="2"/>
    </row>
    <row r="1301" spans="2:12" ht="13.2" x14ac:dyDescent="0.25">
      <c r="B1301" s="2"/>
      <c r="C1301" s="2"/>
      <c r="D1301" s="2"/>
      <c r="E1301" s="2"/>
      <c r="F1301" s="2"/>
      <c r="G1301" s="2"/>
      <c r="H1301" s="2"/>
      <c r="I1301" s="2"/>
      <c r="J1301" s="2"/>
      <c r="K1301" s="2"/>
      <c r="L1301" s="2"/>
    </row>
    <row r="1302" spans="2:12" ht="13.2" x14ac:dyDescent="0.25">
      <c r="B1302" s="2"/>
      <c r="C1302" s="2"/>
      <c r="D1302" s="2"/>
      <c r="E1302" s="2"/>
      <c r="F1302" s="2"/>
      <c r="G1302" s="2"/>
      <c r="H1302" s="2"/>
      <c r="I1302" s="2"/>
      <c r="J1302" s="2"/>
      <c r="K1302" s="2"/>
      <c r="L1302" s="2"/>
    </row>
    <row r="1303" spans="2:12" ht="13.2" x14ac:dyDescent="0.25">
      <c r="B1303" s="2"/>
      <c r="C1303" s="2"/>
      <c r="D1303" s="2"/>
      <c r="E1303" s="2"/>
      <c r="F1303" s="2"/>
      <c r="G1303" s="2"/>
      <c r="H1303" s="2"/>
      <c r="I1303" s="2"/>
      <c r="J1303" s="2"/>
      <c r="K1303" s="2"/>
      <c r="L1303" s="2"/>
    </row>
    <row r="1304" spans="2:12" ht="13.2" x14ac:dyDescent="0.25">
      <c r="B1304" s="2"/>
      <c r="C1304" s="2"/>
      <c r="D1304" s="2"/>
      <c r="E1304" s="2"/>
      <c r="F1304" s="2"/>
      <c r="G1304" s="2"/>
      <c r="H1304" s="2"/>
      <c r="I1304" s="2"/>
      <c r="J1304" s="2"/>
      <c r="K1304" s="2"/>
      <c r="L1304" s="2"/>
    </row>
    <row r="1305" spans="2:12" ht="13.2" x14ac:dyDescent="0.25">
      <c r="B1305" s="2"/>
      <c r="C1305" s="2"/>
      <c r="D1305" s="2"/>
      <c r="E1305" s="2"/>
      <c r="F1305" s="2"/>
      <c r="G1305" s="2"/>
      <c r="H1305" s="2"/>
      <c r="I1305" s="2"/>
      <c r="J1305" s="2"/>
      <c r="K1305" s="2"/>
      <c r="L1305" s="2"/>
    </row>
    <row r="1306" spans="2:12" ht="13.2" x14ac:dyDescent="0.25">
      <c r="B1306" s="2"/>
      <c r="C1306" s="2"/>
      <c r="D1306" s="2"/>
      <c r="E1306" s="2"/>
      <c r="F1306" s="2"/>
      <c r="G1306" s="2"/>
      <c r="H1306" s="2"/>
      <c r="I1306" s="2"/>
      <c r="J1306" s="2"/>
      <c r="K1306" s="2"/>
      <c r="L1306" s="2"/>
    </row>
    <row r="1307" spans="2:12" ht="13.2" x14ac:dyDescent="0.25">
      <c r="B1307" s="2"/>
      <c r="C1307" s="2"/>
      <c r="D1307" s="2"/>
      <c r="E1307" s="2"/>
      <c r="F1307" s="2"/>
      <c r="G1307" s="2"/>
      <c r="H1307" s="2"/>
      <c r="I1307" s="2"/>
      <c r="J1307" s="2"/>
      <c r="K1307" s="2"/>
      <c r="L1307" s="2"/>
    </row>
    <row r="1308" spans="2:12" ht="13.2" x14ac:dyDescent="0.25">
      <c r="B1308" s="2"/>
      <c r="C1308" s="2"/>
      <c r="D1308" s="2"/>
      <c r="E1308" s="2"/>
      <c r="F1308" s="2"/>
      <c r="G1308" s="2"/>
      <c r="H1308" s="2"/>
      <c r="I1308" s="2"/>
      <c r="J1308" s="2"/>
      <c r="K1308" s="2"/>
      <c r="L1308" s="2"/>
    </row>
    <row r="1309" spans="2:12" ht="13.2" x14ac:dyDescent="0.25">
      <c r="B1309" s="2"/>
      <c r="C1309" s="2"/>
      <c r="D1309" s="2"/>
      <c r="E1309" s="2"/>
      <c r="F1309" s="2"/>
      <c r="G1309" s="2"/>
      <c r="H1309" s="2"/>
      <c r="I1309" s="2"/>
      <c r="J1309" s="2"/>
      <c r="K1309" s="2"/>
      <c r="L1309" s="2"/>
    </row>
    <row r="1310" spans="2:12" ht="13.2" x14ac:dyDescent="0.25">
      <c r="B1310" s="2"/>
      <c r="C1310" s="2"/>
      <c r="D1310" s="2"/>
      <c r="E1310" s="2"/>
      <c r="F1310" s="2"/>
      <c r="G1310" s="2"/>
      <c r="H1310" s="2"/>
      <c r="I1310" s="2"/>
      <c r="J1310" s="2"/>
      <c r="K1310" s="2"/>
      <c r="L1310" s="2"/>
    </row>
    <row r="1311" spans="2:12" ht="13.2" x14ac:dyDescent="0.25">
      <c r="B1311" s="2"/>
      <c r="C1311" s="2"/>
      <c r="D1311" s="2"/>
      <c r="E1311" s="2"/>
      <c r="F1311" s="2"/>
      <c r="G1311" s="2"/>
      <c r="H1311" s="2"/>
      <c r="I1311" s="2"/>
      <c r="J1311" s="2"/>
      <c r="K1311" s="2"/>
      <c r="L1311" s="2"/>
    </row>
    <row r="1312" spans="2:12" ht="13.2" x14ac:dyDescent="0.25">
      <c r="B1312" s="2"/>
      <c r="C1312" s="2"/>
      <c r="D1312" s="2"/>
      <c r="E1312" s="2"/>
      <c r="F1312" s="2"/>
      <c r="G1312" s="2"/>
      <c r="H1312" s="2"/>
      <c r="I1312" s="2"/>
      <c r="J1312" s="2"/>
      <c r="K1312" s="2"/>
      <c r="L1312" s="2"/>
    </row>
    <row r="1313" spans="2:12" ht="13.2" x14ac:dyDescent="0.25">
      <c r="B1313" s="2"/>
      <c r="C1313" s="2"/>
      <c r="D1313" s="2"/>
      <c r="E1313" s="2"/>
      <c r="F1313" s="2"/>
      <c r="G1313" s="2"/>
      <c r="H1313" s="2"/>
      <c r="I1313" s="2"/>
      <c r="J1313" s="2"/>
      <c r="K1313" s="2"/>
      <c r="L1313" s="2"/>
    </row>
    <row r="1314" spans="2:12" ht="13.2" x14ac:dyDescent="0.25">
      <c r="B1314" s="2"/>
      <c r="C1314" s="2"/>
      <c r="D1314" s="2"/>
      <c r="E1314" s="2"/>
      <c r="F1314" s="2"/>
      <c r="G1314" s="2"/>
      <c r="H1314" s="2"/>
      <c r="I1314" s="2"/>
      <c r="J1314" s="2"/>
      <c r="K1314" s="2"/>
      <c r="L1314" s="2"/>
    </row>
    <row r="1315" spans="2:12" ht="13.2" x14ac:dyDescent="0.25">
      <c r="B1315" s="2"/>
      <c r="C1315" s="2"/>
      <c r="D1315" s="2"/>
      <c r="E1315" s="2"/>
      <c r="F1315" s="2"/>
      <c r="G1315" s="2"/>
      <c r="H1315" s="2"/>
      <c r="I1315" s="2"/>
      <c r="J1315" s="2"/>
      <c r="K1315" s="2"/>
      <c r="L1315" s="2"/>
    </row>
    <row r="1316" spans="2:12" ht="13.2" x14ac:dyDescent="0.25">
      <c r="B1316" s="2"/>
      <c r="C1316" s="2"/>
      <c r="D1316" s="2"/>
      <c r="E1316" s="2"/>
      <c r="F1316" s="2"/>
      <c r="G1316" s="2"/>
      <c r="H1316" s="2"/>
      <c r="I1316" s="2"/>
      <c r="J1316" s="2"/>
      <c r="K1316" s="2"/>
      <c r="L1316" s="2"/>
    </row>
    <row r="1317" spans="2:12" ht="13.2" x14ac:dyDescent="0.25">
      <c r="B1317" s="2"/>
      <c r="C1317" s="2"/>
      <c r="D1317" s="2"/>
      <c r="E1317" s="2"/>
      <c r="F1317" s="2"/>
      <c r="G1317" s="2"/>
      <c r="H1317" s="2"/>
      <c r="I1317" s="2"/>
      <c r="J1317" s="2"/>
      <c r="K1317" s="2"/>
      <c r="L1317" s="2"/>
    </row>
    <row r="1318" spans="2:12" ht="13.2" x14ac:dyDescent="0.25">
      <c r="B1318" s="2"/>
      <c r="C1318" s="2"/>
      <c r="D1318" s="2"/>
      <c r="E1318" s="2"/>
      <c r="F1318" s="2"/>
      <c r="G1318" s="2"/>
      <c r="H1318" s="2"/>
      <c r="I1318" s="2"/>
      <c r="J1318" s="2"/>
      <c r="K1318" s="2"/>
      <c r="L1318" s="2"/>
    </row>
    <row r="1319" spans="2:12" ht="13.2" x14ac:dyDescent="0.25">
      <c r="B1319" s="2"/>
      <c r="C1319" s="2"/>
      <c r="D1319" s="2"/>
      <c r="E1319" s="2"/>
      <c r="F1319" s="2"/>
      <c r="G1319" s="2"/>
      <c r="H1319" s="2"/>
      <c r="I1319" s="2"/>
      <c r="J1319" s="2"/>
      <c r="K1319" s="2"/>
      <c r="L1319" s="2"/>
    </row>
    <row r="1320" spans="2:12" ht="13.2" x14ac:dyDescent="0.25">
      <c r="B1320" s="2"/>
      <c r="C1320" s="2"/>
      <c r="D1320" s="2"/>
      <c r="E1320" s="2"/>
      <c r="F1320" s="2"/>
      <c r="G1320" s="2"/>
      <c r="H1320" s="2"/>
      <c r="I1320" s="2"/>
      <c r="J1320" s="2"/>
      <c r="K1320" s="2"/>
      <c r="L1320" s="2"/>
    </row>
    <row r="1321" spans="2:12" ht="13.2" x14ac:dyDescent="0.25">
      <c r="B1321" s="2"/>
      <c r="C1321" s="2"/>
      <c r="D1321" s="2"/>
      <c r="E1321" s="2"/>
      <c r="F1321" s="2"/>
      <c r="G1321" s="2"/>
      <c r="H1321" s="2"/>
      <c r="I1321" s="2"/>
      <c r="J1321" s="2"/>
      <c r="K1321" s="2"/>
      <c r="L1321" s="2"/>
    </row>
    <row r="1322" spans="2:12" ht="13.2" x14ac:dyDescent="0.25">
      <c r="B1322" s="2"/>
      <c r="C1322" s="2"/>
      <c r="D1322" s="2"/>
      <c r="E1322" s="2"/>
      <c r="F1322" s="2"/>
      <c r="G1322" s="2"/>
      <c r="H1322" s="2"/>
      <c r="I1322" s="2"/>
      <c r="J1322" s="2"/>
      <c r="K1322" s="2"/>
      <c r="L1322" s="2"/>
    </row>
    <row r="1323" spans="2:12" ht="13.2" x14ac:dyDescent="0.25">
      <c r="B1323" s="2"/>
      <c r="C1323" s="2"/>
      <c r="D1323" s="2"/>
      <c r="E1323" s="2"/>
      <c r="F1323" s="2"/>
      <c r="G1323" s="2"/>
      <c r="H1323" s="2"/>
      <c r="I1323" s="2"/>
      <c r="J1323" s="2"/>
      <c r="K1323" s="2"/>
      <c r="L1323" s="2"/>
    </row>
    <row r="1324" spans="2:12" ht="13.2" x14ac:dyDescent="0.25">
      <c r="B1324" s="2"/>
      <c r="C1324" s="2"/>
      <c r="D1324" s="2"/>
      <c r="E1324" s="2"/>
      <c r="F1324" s="2"/>
      <c r="G1324" s="2"/>
      <c r="H1324" s="2"/>
      <c r="I1324" s="2"/>
      <c r="J1324" s="2"/>
      <c r="K1324" s="2"/>
      <c r="L1324" s="2"/>
    </row>
    <row r="1325" spans="2:12" ht="13.2" x14ac:dyDescent="0.25">
      <c r="B1325" s="2"/>
      <c r="C1325" s="2"/>
      <c r="D1325" s="2"/>
      <c r="E1325" s="2"/>
      <c r="F1325" s="2"/>
      <c r="G1325" s="2"/>
      <c r="H1325" s="2"/>
      <c r="I1325" s="2"/>
      <c r="J1325" s="2"/>
      <c r="K1325" s="2"/>
      <c r="L1325" s="2"/>
    </row>
    <row r="1326" spans="2:12" ht="13.2" x14ac:dyDescent="0.25">
      <c r="B1326" s="2"/>
      <c r="C1326" s="2"/>
      <c r="D1326" s="2"/>
      <c r="E1326" s="2"/>
      <c r="F1326" s="2"/>
      <c r="G1326" s="2"/>
      <c r="H1326" s="2"/>
      <c r="I1326" s="2"/>
      <c r="J1326" s="2"/>
      <c r="K1326" s="2"/>
      <c r="L1326" s="2"/>
    </row>
    <row r="1327" spans="2:12" ht="13.2" x14ac:dyDescent="0.25">
      <c r="B1327" s="2"/>
      <c r="C1327" s="2"/>
      <c r="D1327" s="2"/>
      <c r="E1327" s="2"/>
      <c r="F1327" s="2"/>
      <c r="G1327" s="2"/>
      <c r="H1327" s="2"/>
      <c r="I1327" s="2"/>
      <c r="J1327" s="2"/>
      <c r="K1327" s="2"/>
      <c r="L1327" s="2"/>
    </row>
    <row r="1328" spans="2:12" ht="13.2" x14ac:dyDescent="0.25">
      <c r="B1328" s="2"/>
      <c r="C1328" s="2"/>
      <c r="D1328" s="2"/>
      <c r="E1328" s="2"/>
      <c r="F1328" s="2"/>
      <c r="G1328" s="2"/>
      <c r="H1328" s="2"/>
      <c r="I1328" s="2"/>
      <c r="J1328" s="2"/>
      <c r="K1328" s="2"/>
      <c r="L1328" s="2"/>
    </row>
    <row r="1329" spans="2:12" ht="13.2" x14ac:dyDescent="0.25">
      <c r="B1329" s="2"/>
      <c r="C1329" s="2"/>
      <c r="D1329" s="2"/>
      <c r="E1329" s="2"/>
      <c r="F1329" s="2"/>
      <c r="G1329" s="2"/>
      <c r="H1329" s="2"/>
      <c r="I1329" s="2"/>
      <c r="J1329" s="2"/>
      <c r="K1329" s="2"/>
      <c r="L1329" s="2"/>
    </row>
    <row r="1330" spans="2:12" ht="13.2" x14ac:dyDescent="0.25">
      <c r="B1330" s="2"/>
      <c r="C1330" s="2"/>
      <c r="D1330" s="2"/>
      <c r="E1330" s="2"/>
      <c r="F1330" s="2"/>
      <c r="G1330" s="2"/>
      <c r="H1330" s="2"/>
      <c r="I1330" s="2"/>
      <c r="J1330" s="2"/>
      <c r="K1330" s="2"/>
      <c r="L1330" s="2"/>
    </row>
    <row r="1331" spans="2:12" ht="13.2" x14ac:dyDescent="0.25">
      <c r="B1331" s="2"/>
      <c r="C1331" s="2"/>
      <c r="D1331" s="2"/>
      <c r="E1331" s="2"/>
      <c r="F1331" s="2"/>
      <c r="G1331" s="2"/>
      <c r="H1331" s="2"/>
      <c r="I1331" s="2"/>
      <c r="J1331" s="2"/>
      <c r="K1331" s="2"/>
      <c r="L1331" s="2"/>
    </row>
    <row r="1332" spans="2:12" ht="13.2" x14ac:dyDescent="0.25">
      <c r="B1332" s="2"/>
      <c r="C1332" s="2"/>
      <c r="D1332" s="2"/>
      <c r="E1332" s="2"/>
      <c r="F1332" s="2"/>
      <c r="G1332" s="2"/>
      <c r="H1332" s="2"/>
      <c r="I1332" s="2"/>
      <c r="J1332" s="2"/>
      <c r="K1332" s="2"/>
      <c r="L1332" s="2"/>
    </row>
    <row r="1333" spans="2:12" ht="13.2" x14ac:dyDescent="0.25">
      <c r="B1333" s="2"/>
      <c r="C1333" s="2"/>
      <c r="D1333" s="2"/>
      <c r="E1333" s="2"/>
      <c r="F1333" s="2"/>
      <c r="G1333" s="2"/>
      <c r="H1333" s="2"/>
      <c r="I1333" s="2"/>
      <c r="J1333" s="2"/>
      <c r="K1333" s="2"/>
      <c r="L1333" s="2"/>
    </row>
    <row r="1334" spans="2:12" ht="13.2" x14ac:dyDescent="0.25">
      <c r="B1334" s="2"/>
      <c r="C1334" s="2"/>
      <c r="D1334" s="2"/>
      <c r="E1334" s="2"/>
      <c r="F1334" s="2"/>
      <c r="G1334" s="2"/>
      <c r="H1334" s="2"/>
      <c r="I1334" s="2"/>
      <c r="J1334" s="2"/>
      <c r="K1334" s="2"/>
      <c r="L1334" s="2"/>
    </row>
    <row r="1335" spans="2:12" ht="13.2" x14ac:dyDescent="0.25">
      <c r="B1335" s="2"/>
      <c r="C1335" s="2"/>
      <c r="D1335" s="2"/>
      <c r="E1335" s="2"/>
      <c r="F1335" s="2"/>
      <c r="G1335" s="2"/>
      <c r="H1335" s="2"/>
      <c r="I1335" s="2"/>
      <c r="J1335" s="2"/>
      <c r="K1335" s="2"/>
      <c r="L1335" s="2"/>
    </row>
    <row r="1336" spans="2:12" ht="13.2" x14ac:dyDescent="0.25">
      <c r="B1336" s="2"/>
      <c r="C1336" s="2"/>
      <c r="D1336" s="2"/>
      <c r="E1336" s="2"/>
      <c r="F1336" s="2"/>
      <c r="G1336" s="2"/>
      <c r="H1336" s="2"/>
      <c r="I1336" s="2"/>
      <c r="J1336" s="2"/>
      <c r="K1336" s="2"/>
      <c r="L1336" s="2"/>
    </row>
    <row r="1337" spans="2:12" ht="13.2" x14ac:dyDescent="0.25">
      <c r="B1337" s="2"/>
      <c r="C1337" s="2"/>
      <c r="D1337" s="2"/>
      <c r="E1337" s="2"/>
      <c r="F1337" s="2"/>
      <c r="G1337" s="2"/>
      <c r="H1337" s="2"/>
      <c r="I1337" s="2"/>
      <c r="J1337" s="2"/>
      <c r="K1337" s="2"/>
      <c r="L1337" s="2"/>
    </row>
    <row r="1338" spans="2:12" ht="13.2" x14ac:dyDescent="0.25">
      <c r="B1338" s="2"/>
      <c r="C1338" s="2"/>
      <c r="D1338" s="2"/>
      <c r="E1338" s="2"/>
      <c r="F1338" s="2"/>
      <c r="G1338" s="2"/>
      <c r="H1338" s="2"/>
      <c r="I1338" s="2"/>
      <c r="J1338" s="2"/>
      <c r="K1338" s="2"/>
      <c r="L1338" s="2"/>
    </row>
    <row r="1339" spans="2:12" ht="13.2" x14ac:dyDescent="0.25">
      <c r="B1339" s="2"/>
      <c r="C1339" s="2"/>
      <c r="D1339" s="2"/>
      <c r="E1339" s="2"/>
      <c r="F1339" s="2"/>
      <c r="G1339" s="2"/>
      <c r="H1339" s="2"/>
      <c r="I1339" s="2"/>
      <c r="J1339" s="2"/>
      <c r="K1339" s="2"/>
      <c r="L1339" s="2"/>
    </row>
    <row r="1340" spans="2:12" ht="13.2" x14ac:dyDescent="0.25">
      <c r="B1340" s="2"/>
      <c r="C1340" s="2"/>
      <c r="D1340" s="2"/>
      <c r="E1340" s="2"/>
      <c r="F1340" s="2"/>
      <c r="G1340" s="2"/>
      <c r="H1340" s="2"/>
      <c r="I1340" s="2"/>
      <c r="J1340" s="2"/>
      <c r="K1340" s="2"/>
      <c r="L1340" s="2"/>
    </row>
    <row r="1341" spans="2:12" ht="13.2" x14ac:dyDescent="0.25">
      <c r="B1341" s="2"/>
      <c r="C1341" s="2"/>
      <c r="D1341" s="2"/>
      <c r="E1341" s="2"/>
      <c r="F1341" s="2"/>
      <c r="G1341" s="2"/>
      <c r="H1341" s="2"/>
      <c r="I1341" s="2"/>
      <c r="J1341" s="2"/>
      <c r="K1341" s="2"/>
      <c r="L1341" s="2"/>
    </row>
    <row r="1342" spans="2:12" ht="13.2" x14ac:dyDescent="0.25">
      <c r="B1342" s="2"/>
      <c r="C1342" s="2"/>
      <c r="D1342" s="2"/>
      <c r="E1342" s="2"/>
      <c r="F1342" s="2"/>
      <c r="G1342" s="2"/>
      <c r="H1342" s="2"/>
      <c r="I1342" s="2"/>
      <c r="J1342" s="2"/>
      <c r="K1342" s="2"/>
      <c r="L1342" s="2"/>
    </row>
    <row r="1343" spans="2:12" ht="13.2" x14ac:dyDescent="0.25">
      <c r="B1343" s="2"/>
      <c r="C1343" s="2"/>
      <c r="D1343" s="2"/>
      <c r="E1343" s="2"/>
      <c r="F1343" s="2"/>
      <c r="G1343" s="2"/>
      <c r="H1343" s="2"/>
      <c r="I1343" s="2"/>
      <c r="J1343" s="2"/>
      <c r="K1343" s="2"/>
      <c r="L1343" s="2"/>
    </row>
    <row r="1344" spans="2:12" ht="13.2" x14ac:dyDescent="0.25">
      <c r="B1344" s="2"/>
      <c r="C1344" s="2"/>
      <c r="D1344" s="2"/>
      <c r="E1344" s="2"/>
      <c r="F1344" s="2"/>
      <c r="G1344" s="2"/>
      <c r="H1344" s="2"/>
      <c r="I1344" s="2"/>
      <c r="J1344" s="2"/>
      <c r="K1344" s="2"/>
      <c r="L1344" s="2"/>
    </row>
    <row r="1345" spans="2:12" ht="13.2" x14ac:dyDescent="0.25">
      <c r="B1345" s="2"/>
      <c r="C1345" s="2"/>
      <c r="D1345" s="2"/>
      <c r="E1345" s="2"/>
      <c r="F1345" s="2"/>
      <c r="G1345" s="2"/>
      <c r="H1345" s="2"/>
      <c r="I1345" s="2"/>
      <c r="J1345" s="2"/>
      <c r="K1345" s="2"/>
      <c r="L1345" s="2"/>
    </row>
    <row r="1346" spans="2:12" ht="13.2" x14ac:dyDescent="0.25">
      <c r="B1346" s="2"/>
      <c r="C1346" s="2"/>
      <c r="D1346" s="2"/>
      <c r="E1346" s="2"/>
      <c r="F1346" s="2"/>
      <c r="G1346" s="2"/>
      <c r="H1346" s="2"/>
      <c r="I1346" s="2"/>
      <c r="J1346" s="2"/>
      <c r="K1346" s="2"/>
      <c r="L1346" s="2"/>
    </row>
    <row r="1347" spans="2:12" ht="13.2" x14ac:dyDescent="0.25">
      <c r="B1347" s="2"/>
      <c r="C1347" s="2"/>
      <c r="D1347" s="2"/>
      <c r="E1347" s="2"/>
      <c r="F1347" s="2"/>
      <c r="G1347" s="2"/>
      <c r="H1347" s="2"/>
      <c r="I1347" s="2"/>
      <c r="J1347" s="2"/>
      <c r="K1347" s="2"/>
      <c r="L1347" s="2"/>
    </row>
    <row r="1348" spans="2:12" ht="13.2" x14ac:dyDescent="0.25">
      <c r="B1348" s="2"/>
      <c r="C1348" s="2"/>
      <c r="D1348" s="2"/>
      <c r="E1348" s="2"/>
      <c r="F1348" s="2"/>
      <c r="G1348" s="2"/>
      <c r="H1348" s="2"/>
      <c r="I1348" s="2"/>
      <c r="J1348" s="2"/>
      <c r="K1348" s="2"/>
      <c r="L1348" s="2"/>
    </row>
    <row r="1349" spans="2:12" ht="13.2" x14ac:dyDescent="0.25">
      <c r="B1349" s="2"/>
      <c r="C1349" s="2"/>
      <c r="D1349" s="2"/>
      <c r="E1349" s="2"/>
      <c r="F1349" s="2"/>
      <c r="G1349" s="2"/>
      <c r="H1349" s="2"/>
      <c r="I1349" s="2"/>
      <c r="J1349" s="2"/>
      <c r="K1349" s="2"/>
      <c r="L1349" s="2"/>
    </row>
    <row r="1350" spans="2:12" ht="13.2" x14ac:dyDescent="0.25">
      <c r="B1350" s="2"/>
      <c r="C1350" s="2"/>
      <c r="D1350" s="2"/>
      <c r="E1350" s="2"/>
      <c r="F1350" s="2"/>
      <c r="G1350" s="2"/>
      <c r="H1350" s="2"/>
      <c r="I1350" s="2"/>
      <c r="J1350" s="2"/>
      <c r="K1350" s="2"/>
      <c r="L1350" s="2"/>
    </row>
    <row r="1351" spans="2:12" ht="13.2" x14ac:dyDescent="0.25">
      <c r="B1351" s="2"/>
      <c r="C1351" s="2"/>
      <c r="D1351" s="2"/>
      <c r="E1351" s="2"/>
      <c r="F1351" s="2"/>
      <c r="G1351" s="2"/>
      <c r="H1351" s="2"/>
      <c r="I1351" s="2"/>
      <c r="J1351" s="2"/>
      <c r="K1351" s="2"/>
      <c r="L1351" s="2"/>
    </row>
    <row r="1352" spans="2:12" ht="13.2" x14ac:dyDescent="0.25">
      <c r="B1352" s="2"/>
      <c r="C1352" s="2"/>
      <c r="D1352" s="2"/>
      <c r="E1352" s="2"/>
      <c r="F1352" s="2"/>
      <c r="G1352" s="2"/>
      <c r="H1352" s="2"/>
      <c r="I1352" s="2"/>
      <c r="J1352" s="2"/>
      <c r="K1352" s="2"/>
      <c r="L1352" s="2"/>
    </row>
    <row r="1353" spans="2:12" ht="13.2" x14ac:dyDescent="0.25">
      <c r="B1353" s="2"/>
      <c r="C1353" s="2"/>
      <c r="D1353" s="2"/>
      <c r="E1353" s="2"/>
      <c r="F1353" s="2"/>
      <c r="G1353" s="2"/>
      <c r="H1353" s="2"/>
      <c r="I1353" s="2"/>
      <c r="J1353" s="2"/>
      <c r="K1353" s="2"/>
      <c r="L1353" s="2"/>
    </row>
    <row r="1354" spans="2:12" ht="13.2" x14ac:dyDescent="0.25">
      <c r="B1354" s="2"/>
      <c r="C1354" s="2"/>
      <c r="D1354" s="2"/>
      <c r="E1354" s="2"/>
      <c r="F1354" s="2"/>
      <c r="G1354" s="2"/>
      <c r="H1354" s="2"/>
      <c r="I1354" s="2"/>
      <c r="J1354" s="2"/>
      <c r="K1354" s="2"/>
      <c r="L1354" s="2"/>
    </row>
    <row r="1355" spans="2:12" ht="13.2" x14ac:dyDescent="0.25">
      <c r="B1355" s="2"/>
      <c r="C1355" s="2"/>
      <c r="D1355" s="2"/>
      <c r="E1355" s="2"/>
      <c r="F1355" s="2"/>
      <c r="G1355" s="2"/>
      <c r="H1355" s="2"/>
      <c r="I1355" s="2"/>
      <c r="J1355" s="2"/>
      <c r="K1355" s="2"/>
      <c r="L1355" s="2"/>
    </row>
    <row r="1356" spans="2:12" ht="13.2" x14ac:dyDescent="0.25">
      <c r="B1356" s="2"/>
      <c r="C1356" s="2"/>
      <c r="D1356" s="2"/>
      <c r="E1356" s="2"/>
      <c r="F1356" s="2"/>
      <c r="G1356" s="2"/>
      <c r="H1356" s="2"/>
      <c r="I1356" s="2"/>
      <c r="J1356" s="2"/>
      <c r="K1356" s="2"/>
      <c r="L1356" s="2"/>
    </row>
    <row r="1357" spans="2:12" ht="13.2" x14ac:dyDescent="0.25">
      <c r="B1357" s="2"/>
      <c r="C1357" s="2"/>
      <c r="D1357" s="2"/>
      <c r="E1357" s="2"/>
      <c r="F1357" s="2"/>
      <c r="G1357" s="2"/>
      <c r="H1357" s="2"/>
      <c r="I1357" s="2"/>
      <c r="J1357" s="2"/>
      <c r="K1357" s="2"/>
      <c r="L1357" s="2"/>
    </row>
    <row r="1358" spans="2:12" ht="13.2" x14ac:dyDescent="0.25">
      <c r="B1358" s="2"/>
      <c r="C1358" s="2"/>
      <c r="D1358" s="2"/>
      <c r="E1358" s="2"/>
      <c r="F1358" s="2"/>
      <c r="G1358" s="2"/>
      <c r="H1358" s="2"/>
      <c r="I1358" s="2"/>
      <c r="J1358" s="2"/>
      <c r="K1358" s="2"/>
      <c r="L1358" s="2"/>
    </row>
    <row r="1359" spans="2:12" ht="13.2" x14ac:dyDescent="0.25">
      <c r="B1359" s="2"/>
      <c r="C1359" s="2"/>
      <c r="D1359" s="2"/>
      <c r="E1359" s="2"/>
      <c r="F1359" s="2"/>
      <c r="G1359" s="2"/>
      <c r="H1359" s="2"/>
      <c r="I1359" s="2"/>
      <c r="J1359" s="2"/>
      <c r="K1359" s="2"/>
      <c r="L1359" s="2"/>
    </row>
    <row r="1360" spans="2:12" ht="13.2" x14ac:dyDescent="0.25">
      <c r="B1360" s="2"/>
      <c r="C1360" s="2"/>
      <c r="D1360" s="2"/>
      <c r="E1360" s="2"/>
      <c r="F1360" s="2"/>
      <c r="G1360" s="2"/>
      <c r="H1360" s="2"/>
      <c r="I1360" s="2"/>
      <c r="J1360" s="2"/>
      <c r="K1360" s="2"/>
      <c r="L1360" s="2"/>
    </row>
    <row r="1361" spans="2:12" ht="13.2" x14ac:dyDescent="0.25">
      <c r="B1361" s="2"/>
      <c r="C1361" s="2"/>
      <c r="D1361" s="2"/>
      <c r="E1361" s="2"/>
      <c r="F1361" s="2"/>
      <c r="G1361" s="2"/>
      <c r="H1361" s="2"/>
      <c r="I1361" s="2"/>
      <c r="J1361" s="2"/>
      <c r="K1361" s="2"/>
      <c r="L1361" s="2"/>
    </row>
    <row r="1362" spans="2:12" ht="13.2" x14ac:dyDescent="0.25">
      <c r="B1362" s="2"/>
      <c r="C1362" s="2"/>
      <c r="D1362" s="2"/>
      <c r="E1362" s="2"/>
      <c r="F1362" s="2"/>
      <c r="G1362" s="2"/>
      <c r="H1362" s="2"/>
      <c r="I1362" s="2"/>
      <c r="J1362" s="2"/>
      <c r="K1362" s="2"/>
      <c r="L1362" s="2"/>
    </row>
    <row r="1363" spans="2:12" ht="13.2" x14ac:dyDescent="0.25">
      <c r="B1363" s="2"/>
      <c r="C1363" s="2"/>
      <c r="D1363" s="2"/>
      <c r="E1363" s="2"/>
      <c r="F1363" s="2"/>
      <c r="G1363" s="2"/>
      <c r="H1363" s="2"/>
      <c r="I1363" s="2"/>
      <c r="J1363" s="2"/>
      <c r="K1363" s="2"/>
      <c r="L1363" s="2"/>
    </row>
    <row r="1364" spans="2:12" ht="13.2" x14ac:dyDescent="0.25">
      <c r="B1364" s="2"/>
      <c r="C1364" s="2"/>
      <c r="D1364" s="2"/>
      <c r="E1364" s="2"/>
      <c r="F1364" s="2"/>
      <c r="G1364" s="2"/>
      <c r="H1364" s="2"/>
      <c r="I1364" s="2"/>
      <c r="J1364" s="2"/>
      <c r="K1364" s="2"/>
      <c r="L1364" s="2"/>
    </row>
    <row r="1365" spans="2:12" ht="13.2" x14ac:dyDescent="0.25">
      <c r="B1365" s="2"/>
      <c r="C1365" s="2"/>
      <c r="D1365" s="2"/>
      <c r="E1365" s="2"/>
      <c r="F1365" s="2"/>
      <c r="G1365" s="2"/>
      <c r="H1365" s="2"/>
      <c r="I1365" s="2"/>
      <c r="J1365" s="2"/>
      <c r="K1365" s="2"/>
      <c r="L1365" s="2"/>
    </row>
    <row r="1366" spans="2:12" ht="13.2" x14ac:dyDescent="0.25">
      <c r="B1366" s="2"/>
      <c r="C1366" s="2"/>
      <c r="D1366" s="2"/>
      <c r="E1366" s="2"/>
      <c r="F1366" s="2"/>
      <c r="G1366" s="2"/>
      <c r="H1366" s="2"/>
      <c r="I1366" s="2"/>
      <c r="J1366" s="2"/>
      <c r="K1366" s="2"/>
      <c r="L1366" s="2"/>
    </row>
    <row r="1367" spans="2:12" ht="13.2" x14ac:dyDescent="0.25">
      <c r="B1367" s="2"/>
      <c r="C1367" s="2"/>
      <c r="D1367" s="2"/>
      <c r="E1367" s="2"/>
      <c r="F1367" s="2"/>
      <c r="G1367" s="2"/>
      <c r="H1367" s="2"/>
      <c r="I1367" s="2"/>
      <c r="J1367" s="2"/>
      <c r="K1367" s="2"/>
      <c r="L1367" s="2"/>
    </row>
    <row r="1368" spans="2:12" ht="13.2" x14ac:dyDescent="0.25">
      <c r="B1368" s="2"/>
      <c r="C1368" s="2"/>
      <c r="D1368" s="2"/>
      <c r="E1368" s="2"/>
      <c r="F1368" s="2"/>
      <c r="G1368" s="2"/>
      <c r="H1368" s="2"/>
      <c r="I1368" s="2"/>
      <c r="J1368" s="2"/>
      <c r="K1368" s="2"/>
      <c r="L1368" s="2"/>
    </row>
    <row r="1369" spans="2:12" ht="13.2" x14ac:dyDescent="0.25">
      <c r="B1369" s="2"/>
      <c r="C1369" s="2"/>
      <c r="D1369" s="2"/>
      <c r="E1369" s="2"/>
      <c r="F1369" s="2"/>
      <c r="G1369" s="2"/>
      <c r="H1369" s="2"/>
      <c r="I1369" s="2"/>
      <c r="J1369" s="2"/>
      <c r="K1369" s="2"/>
      <c r="L1369" s="2"/>
    </row>
    <row r="1370" spans="2:12" ht="13.2" x14ac:dyDescent="0.25">
      <c r="B1370" s="2"/>
      <c r="C1370" s="2"/>
      <c r="D1370" s="2"/>
      <c r="E1370" s="2"/>
      <c r="F1370" s="2"/>
      <c r="G1370" s="2"/>
      <c r="H1370" s="2"/>
      <c r="I1370" s="2"/>
      <c r="J1370" s="2"/>
      <c r="K1370" s="2"/>
      <c r="L1370" s="2"/>
    </row>
    <row r="1371" spans="2:12" ht="13.2" x14ac:dyDescent="0.25">
      <c r="B1371" s="2"/>
      <c r="C1371" s="2"/>
      <c r="D1371" s="2"/>
      <c r="E1371" s="2"/>
      <c r="F1371" s="2"/>
      <c r="G1371" s="2"/>
      <c r="H1371" s="2"/>
      <c r="I1371" s="2"/>
      <c r="J1371" s="2"/>
      <c r="K1371" s="2"/>
      <c r="L1371" s="2"/>
    </row>
    <row r="1372" spans="2:12" ht="13.2" x14ac:dyDescent="0.25">
      <c r="B1372" s="2"/>
      <c r="C1372" s="2"/>
      <c r="D1372" s="2"/>
      <c r="E1372" s="2"/>
      <c r="F1372" s="2"/>
      <c r="G1372" s="2"/>
      <c r="H1372" s="2"/>
      <c r="I1372" s="2"/>
      <c r="J1372" s="2"/>
      <c r="K1372" s="2"/>
      <c r="L1372" s="2"/>
    </row>
    <row r="1373" spans="2:12" ht="13.2" x14ac:dyDescent="0.25">
      <c r="B1373" s="2"/>
      <c r="C1373" s="2"/>
      <c r="D1373" s="2"/>
      <c r="E1373" s="2"/>
      <c r="F1373" s="2"/>
      <c r="G1373" s="2"/>
      <c r="H1373" s="2"/>
      <c r="I1373" s="2"/>
      <c r="J1373" s="2"/>
      <c r="K1373" s="2"/>
      <c r="L1373" s="2"/>
    </row>
    <row r="1374" spans="2:12" ht="13.2" x14ac:dyDescent="0.25">
      <c r="B1374" s="2"/>
      <c r="C1374" s="2"/>
      <c r="D1374" s="2"/>
      <c r="E1374" s="2"/>
      <c r="F1374" s="2"/>
      <c r="G1374" s="2"/>
      <c r="H1374" s="2"/>
      <c r="I1374" s="2"/>
      <c r="J1374" s="2"/>
      <c r="K1374" s="2"/>
      <c r="L1374" s="2"/>
    </row>
    <row r="1375" spans="2:12" ht="13.2" x14ac:dyDescent="0.25">
      <c r="B1375" s="2"/>
      <c r="C1375" s="2"/>
      <c r="D1375" s="2"/>
      <c r="E1375" s="2"/>
      <c r="F1375" s="2"/>
      <c r="G1375" s="2"/>
      <c r="H1375" s="2"/>
      <c r="I1375" s="2"/>
      <c r="J1375" s="2"/>
      <c r="K1375" s="2"/>
      <c r="L1375" s="2"/>
    </row>
    <row r="1376" spans="2:12" ht="13.2" x14ac:dyDescent="0.25">
      <c r="B1376" s="2"/>
      <c r="C1376" s="2"/>
      <c r="D1376" s="2"/>
      <c r="E1376" s="2"/>
      <c r="F1376" s="2"/>
      <c r="G1376" s="2"/>
      <c r="H1376" s="2"/>
      <c r="I1376" s="2"/>
      <c r="J1376" s="2"/>
      <c r="K1376" s="2"/>
      <c r="L1376" s="2"/>
    </row>
    <row r="1377" spans="2:12" ht="13.2" x14ac:dyDescent="0.25">
      <c r="B1377" s="2"/>
      <c r="C1377" s="2"/>
      <c r="D1377" s="2"/>
      <c r="E1377" s="2"/>
      <c r="F1377" s="2"/>
      <c r="G1377" s="2"/>
      <c r="H1377" s="2"/>
      <c r="I1377" s="2"/>
      <c r="J1377" s="2"/>
      <c r="K1377" s="2"/>
      <c r="L1377" s="2"/>
    </row>
    <row r="1378" spans="2:12" ht="13.2" x14ac:dyDescent="0.25">
      <c r="B1378" s="2"/>
      <c r="C1378" s="2"/>
      <c r="D1378" s="2"/>
      <c r="E1378" s="2"/>
      <c r="F1378" s="2"/>
      <c r="G1378" s="2"/>
      <c r="H1378" s="2"/>
      <c r="I1378" s="2"/>
      <c r="J1378" s="2"/>
      <c r="K1378" s="2"/>
      <c r="L1378" s="2"/>
    </row>
    <row r="1379" spans="2:12" ht="13.2" x14ac:dyDescent="0.25">
      <c r="B1379" s="2"/>
      <c r="C1379" s="2"/>
      <c r="D1379" s="2"/>
      <c r="E1379" s="2"/>
      <c r="F1379" s="2"/>
      <c r="G1379" s="2"/>
      <c r="H1379" s="2"/>
      <c r="I1379" s="2"/>
      <c r="J1379" s="2"/>
      <c r="K1379" s="2"/>
      <c r="L1379" s="2"/>
    </row>
    <row r="1380" spans="2:12" ht="13.2" x14ac:dyDescent="0.25">
      <c r="B1380" s="2"/>
      <c r="C1380" s="2"/>
      <c r="D1380" s="2"/>
      <c r="E1380" s="2"/>
      <c r="F1380" s="2"/>
      <c r="G1380" s="2"/>
      <c r="H1380" s="2"/>
      <c r="I1380" s="2"/>
      <c r="J1380" s="2"/>
      <c r="K1380" s="2"/>
      <c r="L1380" s="2"/>
    </row>
    <row r="1381" spans="2:12" ht="13.2" x14ac:dyDescent="0.25">
      <c r="B1381" s="2"/>
      <c r="C1381" s="2"/>
      <c r="D1381" s="2"/>
      <c r="E1381" s="2"/>
      <c r="F1381" s="2"/>
      <c r="G1381" s="2"/>
      <c r="H1381" s="2"/>
      <c r="I1381" s="2"/>
      <c r="J1381" s="2"/>
      <c r="K1381" s="2"/>
      <c r="L1381" s="2"/>
    </row>
    <row r="1382" spans="2:12" ht="13.2" x14ac:dyDescent="0.25">
      <c r="B1382" s="2"/>
      <c r="C1382" s="2"/>
      <c r="D1382" s="2"/>
      <c r="E1382" s="2"/>
      <c r="F1382" s="2"/>
      <c r="G1382" s="2"/>
      <c r="H1382" s="2"/>
      <c r="I1382" s="2"/>
      <c r="J1382" s="2"/>
      <c r="K1382" s="2"/>
      <c r="L1382" s="2"/>
    </row>
    <row r="1383" spans="2:12" ht="13.2" x14ac:dyDescent="0.25">
      <c r="B1383" s="2"/>
      <c r="C1383" s="2"/>
      <c r="D1383" s="2"/>
      <c r="E1383" s="2"/>
      <c r="F1383" s="2"/>
      <c r="G1383" s="2"/>
      <c r="H1383" s="2"/>
      <c r="I1383" s="2"/>
      <c r="J1383" s="2"/>
      <c r="K1383" s="2"/>
      <c r="L1383" s="2"/>
    </row>
    <row r="1384" spans="2:12" ht="13.2" x14ac:dyDescent="0.25">
      <c r="B1384" s="2"/>
      <c r="C1384" s="2"/>
      <c r="D1384" s="2"/>
      <c r="E1384" s="2"/>
      <c r="F1384" s="2"/>
      <c r="G1384" s="2"/>
      <c r="H1384" s="2"/>
      <c r="I1384" s="2"/>
      <c r="J1384" s="2"/>
      <c r="K1384" s="2"/>
      <c r="L1384" s="2"/>
    </row>
    <row r="1385" spans="2:12" ht="13.2" x14ac:dyDescent="0.25">
      <c r="B1385" s="2"/>
      <c r="C1385" s="2"/>
      <c r="D1385" s="2"/>
      <c r="E1385" s="2"/>
      <c r="F1385" s="2"/>
      <c r="G1385" s="2"/>
      <c r="H1385" s="2"/>
      <c r="I1385" s="2"/>
      <c r="J1385" s="2"/>
      <c r="K1385" s="2"/>
      <c r="L1385" s="2"/>
    </row>
    <row r="1386" spans="2:12" ht="13.2" x14ac:dyDescent="0.25">
      <c r="B1386" s="2"/>
      <c r="C1386" s="2"/>
      <c r="D1386" s="2"/>
      <c r="E1386" s="2"/>
      <c r="F1386" s="2"/>
      <c r="G1386" s="2"/>
      <c r="H1386" s="2"/>
      <c r="I1386" s="2"/>
      <c r="J1386" s="2"/>
      <c r="K1386" s="2"/>
      <c r="L1386" s="2"/>
    </row>
    <row r="1387" spans="2:12" ht="13.2" x14ac:dyDescent="0.25">
      <c r="B1387" s="2"/>
      <c r="C1387" s="2"/>
      <c r="D1387" s="2"/>
      <c r="E1387" s="2"/>
      <c r="F1387" s="2"/>
      <c r="G1387" s="2"/>
      <c r="H1387" s="2"/>
      <c r="I1387" s="2"/>
      <c r="J1387" s="2"/>
      <c r="K1387" s="2"/>
      <c r="L1387" s="2"/>
    </row>
    <row r="1388" spans="2:12" ht="13.2" x14ac:dyDescent="0.25">
      <c r="B1388" s="2"/>
      <c r="C1388" s="2"/>
      <c r="D1388" s="2"/>
      <c r="E1388" s="2"/>
      <c r="F1388" s="2"/>
      <c r="G1388" s="2"/>
      <c r="H1388" s="2"/>
      <c r="I1388" s="2"/>
      <c r="J1388" s="2"/>
      <c r="K1388" s="2"/>
      <c r="L1388" s="2"/>
    </row>
    <row r="1389" spans="2:12" ht="13.2" x14ac:dyDescent="0.25">
      <c r="B1389" s="2"/>
      <c r="C1389" s="2"/>
      <c r="D1389" s="2"/>
      <c r="E1389" s="2"/>
      <c r="F1389" s="2"/>
      <c r="G1389" s="2"/>
      <c r="H1389" s="2"/>
      <c r="I1389" s="2"/>
      <c r="J1389" s="2"/>
      <c r="K1389" s="2"/>
      <c r="L1389" s="2"/>
    </row>
    <row r="1390" spans="2:12" ht="13.2" x14ac:dyDescent="0.25">
      <c r="B1390" s="2"/>
      <c r="C1390" s="2"/>
      <c r="D1390" s="2"/>
      <c r="E1390" s="2"/>
      <c r="F1390" s="2"/>
      <c r="G1390" s="2"/>
      <c r="H1390" s="2"/>
      <c r="I1390" s="2"/>
      <c r="J1390" s="2"/>
      <c r="K1390" s="2"/>
      <c r="L1390" s="2"/>
    </row>
    <row r="1391" spans="2:12" ht="13.2" x14ac:dyDescent="0.25">
      <c r="B1391" s="2"/>
      <c r="C1391" s="2"/>
      <c r="D1391" s="2"/>
      <c r="E1391" s="2"/>
      <c r="F1391" s="2"/>
      <c r="G1391" s="2"/>
      <c r="H1391" s="2"/>
      <c r="I1391" s="2"/>
      <c r="J1391" s="2"/>
      <c r="K1391" s="2"/>
      <c r="L1391" s="2"/>
    </row>
    <row r="1392" spans="2:12" ht="13.2" x14ac:dyDescent="0.25">
      <c r="B1392" s="2"/>
      <c r="C1392" s="2"/>
      <c r="D1392" s="2"/>
      <c r="E1392" s="2"/>
      <c r="F1392" s="2"/>
      <c r="G1392" s="2"/>
      <c r="H1392" s="2"/>
      <c r="I1392" s="2"/>
      <c r="J1392" s="2"/>
      <c r="K1392" s="2"/>
      <c r="L1392" s="2"/>
    </row>
    <row r="1393" spans="2:12" ht="13.2" x14ac:dyDescent="0.25">
      <c r="B1393" s="2"/>
      <c r="C1393" s="2"/>
      <c r="D1393" s="2"/>
      <c r="E1393" s="2"/>
      <c r="F1393" s="2"/>
      <c r="G1393" s="2"/>
      <c r="H1393" s="2"/>
      <c r="I1393" s="2"/>
      <c r="J1393" s="2"/>
      <c r="K1393" s="2"/>
      <c r="L1393" s="2"/>
    </row>
    <row r="1394" spans="2:12" ht="13.2" x14ac:dyDescent="0.25">
      <c r="B1394" s="2"/>
      <c r="C1394" s="2"/>
      <c r="D1394" s="2"/>
      <c r="E1394" s="2"/>
      <c r="F1394" s="2"/>
      <c r="G1394" s="2"/>
      <c r="H1394" s="2"/>
      <c r="I1394" s="2"/>
      <c r="J1394" s="2"/>
      <c r="K1394" s="2"/>
      <c r="L1394" s="2"/>
    </row>
    <row r="1395" spans="2:12" ht="13.2" x14ac:dyDescent="0.25">
      <c r="B1395" s="2"/>
      <c r="C1395" s="2"/>
      <c r="D1395" s="2"/>
      <c r="E1395" s="2"/>
      <c r="F1395" s="2"/>
      <c r="G1395" s="2"/>
      <c r="H1395" s="2"/>
      <c r="I1395" s="2"/>
      <c r="J1395" s="2"/>
      <c r="K1395" s="2"/>
      <c r="L1395" s="2"/>
    </row>
    <row r="1396" spans="2:12" ht="13.2" x14ac:dyDescent="0.25">
      <c r="B1396" s="2"/>
      <c r="C1396" s="2"/>
      <c r="D1396" s="2"/>
      <c r="E1396" s="2"/>
      <c r="F1396" s="2"/>
      <c r="G1396" s="2"/>
      <c r="H1396" s="2"/>
      <c r="I1396" s="2"/>
      <c r="J1396" s="2"/>
      <c r="K1396" s="2"/>
      <c r="L1396" s="2"/>
    </row>
    <row r="1397" spans="2:12" ht="13.2" x14ac:dyDescent="0.25">
      <c r="B1397" s="2"/>
      <c r="C1397" s="2"/>
      <c r="D1397" s="2"/>
      <c r="E1397" s="2"/>
      <c r="F1397" s="2"/>
      <c r="G1397" s="2"/>
      <c r="H1397" s="2"/>
      <c r="I1397" s="2"/>
      <c r="J1397" s="2"/>
      <c r="K1397" s="2"/>
      <c r="L1397" s="2"/>
    </row>
    <row r="1398" spans="2:12" ht="13.2" x14ac:dyDescent="0.25">
      <c r="B1398" s="2"/>
      <c r="C1398" s="2"/>
      <c r="D1398" s="2"/>
      <c r="E1398" s="2"/>
      <c r="F1398" s="2"/>
      <c r="G1398" s="2"/>
      <c r="H1398" s="2"/>
      <c r="I1398" s="2"/>
      <c r="J1398" s="2"/>
      <c r="K1398" s="2"/>
      <c r="L1398" s="2"/>
    </row>
    <row r="1399" spans="2:12" ht="13.2" x14ac:dyDescent="0.25">
      <c r="B1399" s="2"/>
      <c r="C1399" s="2"/>
      <c r="D1399" s="2"/>
      <c r="E1399" s="2"/>
      <c r="F1399" s="2"/>
      <c r="G1399" s="2"/>
      <c r="H1399" s="2"/>
      <c r="I1399" s="2"/>
      <c r="J1399" s="2"/>
      <c r="K1399" s="2"/>
      <c r="L1399" s="2"/>
    </row>
    <row r="1400" spans="2:12" ht="13.2" x14ac:dyDescent="0.25">
      <c r="B1400" s="2"/>
      <c r="C1400" s="2"/>
      <c r="D1400" s="2"/>
      <c r="E1400" s="2"/>
      <c r="F1400" s="2"/>
      <c r="G1400" s="2"/>
      <c r="H1400" s="2"/>
      <c r="I1400" s="2"/>
      <c r="J1400" s="2"/>
      <c r="K1400" s="2"/>
      <c r="L1400" s="2"/>
    </row>
    <row r="1401" spans="2:12" ht="13.2" x14ac:dyDescent="0.25">
      <c r="B1401" s="2"/>
      <c r="C1401" s="2"/>
      <c r="D1401" s="2"/>
      <c r="E1401" s="2"/>
      <c r="F1401" s="2"/>
      <c r="G1401" s="2"/>
      <c r="H1401" s="2"/>
      <c r="I1401" s="2"/>
      <c r="J1401" s="2"/>
      <c r="K1401" s="2"/>
      <c r="L1401" s="2"/>
    </row>
    <row r="1402" spans="2:12" ht="13.2" x14ac:dyDescent="0.25">
      <c r="B1402" s="2"/>
      <c r="C1402" s="2"/>
      <c r="D1402" s="2"/>
      <c r="E1402" s="2"/>
      <c r="F1402" s="2"/>
      <c r="G1402" s="2"/>
      <c r="H1402" s="2"/>
      <c r="I1402" s="2"/>
      <c r="J1402" s="2"/>
      <c r="K1402" s="2"/>
      <c r="L1402" s="2"/>
    </row>
    <row r="1403" spans="2:12" ht="13.2" x14ac:dyDescent="0.25">
      <c r="B1403" s="2"/>
      <c r="C1403" s="2"/>
      <c r="D1403" s="2"/>
      <c r="E1403" s="2"/>
      <c r="F1403" s="2"/>
      <c r="G1403" s="2"/>
      <c r="H1403" s="2"/>
      <c r="I1403" s="2"/>
      <c r="J1403" s="2"/>
      <c r="K1403" s="2"/>
      <c r="L1403" s="2"/>
    </row>
    <row r="1404" spans="2:12" ht="13.2" x14ac:dyDescent="0.25">
      <c r="B1404" s="2"/>
      <c r="C1404" s="2"/>
      <c r="D1404" s="2"/>
      <c r="E1404" s="2"/>
      <c r="F1404" s="2"/>
      <c r="G1404" s="2"/>
      <c r="H1404" s="2"/>
      <c r="I1404" s="2"/>
      <c r="J1404" s="2"/>
      <c r="K1404" s="2"/>
      <c r="L1404" s="2"/>
    </row>
    <row r="1405" spans="2:12" ht="13.2" x14ac:dyDescent="0.25">
      <c r="B1405" s="2"/>
      <c r="C1405" s="2"/>
      <c r="D1405" s="2"/>
      <c r="E1405" s="2"/>
      <c r="F1405" s="2"/>
      <c r="G1405" s="2"/>
      <c r="H1405" s="2"/>
      <c r="I1405" s="2"/>
      <c r="J1405" s="2"/>
      <c r="K1405" s="2"/>
      <c r="L1405" s="2"/>
    </row>
    <row r="1406" spans="2:12" ht="13.2" x14ac:dyDescent="0.25">
      <c r="B1406" s="2"/>
      <c r="C1406" s="2"/>
      <c r="D1406" s="2"/>
      <c r="E1406" s="2"/>
      <c r="F1406" s="2"/>
      <c r="G1406" s="2"/>
      <c r="H1406" s="2"/>
      <c r="I1406" s="2"/>
      <c r="J1406" s="2"/>
      <c r="K1406" s="2"/>
      <c r="L1406" s="2"/>
    </row>
    <row r="1407" spans="2:12" ht="13.2" x14ac:dyDescent="0.25">
      <c r="B1407" s="2"/>
      <c r="C1407" s="2"/>
      <c r="D1407" s="2"/>
      <c r="E1407" s="2"/>
      <c r="F1407" s="2"/>
      <c r="G1407" s="2"/>
      <c r="H1407" s="2"/>
      <c r="I1407" s="2"/>
      <c r="J1407" s="2"/>
      <c r="K1407" s="2"/>
      <c r="L1407" s="2"/>
    </row>
    <row r="1408" spans="2:12" ht="13.2" x14ac:dyDescent="0.25">
      <c r="B1408" s="2"/>
      <c r="C1408" s="2"/>
      <c r="D1408" s="2"/>
      <c r="E1408" s="2"/>
      <c r="F1408" s="2"/>
      <c r="G1408" s="2"/>
      <c r="H1408" s="2"/>
      <c r="I1408" s="2"/>
      <c r="J1408" s="2"/>
      <c r="K1408" s="2"/>
      <c r="L1408" s="2"/>
    </row>
    <row r="1409" spans="2:12" ht="13.2" x14ac:dyDescent="0.25">
      <c r="B1409" s="2"/>
      <c r="C1409" s="2"/>
      <c r="D1409" s="2"/>
      <c r="E1409" s="2"/>
      <c r="F1409" s="2"/>
      <c r="G1409" s="2"/>
      <c r="H1409" s="2"/>
      <c r="I1409" s="2"/>
      <c r="J1409" s="2"/>
      <c r="K1409" s="2"/>
      <c r="L1409" s="2"/>
    </row>
    <row r="1410" spans="2:12" ht="13.2" x14ac:dyDescent="0.25">
      <c r="B1410" s="2"/>
      <c r="C1410" s="2"/>
      <c r="D1410" s="2"/>
      <c r="E1410" s="2"/>
      <c r="F1410" s="2"/>
      <c r="G1410" s="2"/>
      <c r="H1410" s="2"/>
      <c r="I1410" s="2"/>
      <c r="J1410" s="2"/>
      <c r="K1410" s="2"/>
      <c r="L1410" s="2"/>
    </row>
    <row r="1411" spans="2:12" ht="13.2" x14ac:dyDescent="0.25">
      <c r="B1411" s="2"/>
      <c r="C1411" s="2"/>
      <c r="D1411" s="2"/>
      <c r="E1411" s="2"/>
      <c r="F1411" s="2"/>
      <c r="G1411" s="2"/>
      <c r="H1411" s="2"/>
      <c r="I1411" s="2"/>
      <c r="J1411" s="2"/>
      <c r="K1411" s="2"/>
      <c r="L1411" s="2"/>
    </row>
    <row r="1412" spans="2:12" ht="13.2" x14ac:dyDescent="0.25">
      <c r="B1412" s="2"/>
      <c r="C1412" s="2"/>
      <c r="D1412" s="2"/>
      <c r="E1412" s="2"/>
      <c r="F1412" s="2"/>
      <c r="G1412" s="2"/>
      <c r="H1412" s="2"/>
      <c r="I1412" s="2"/>
      <c r="J1412" s="2"/>
      <c r="K1412" s="2"/>
      <c r="L1412" s="2"/>
    </row>
    <row r="1413" spans="2:12" ht="13.2" x14ac:dyDescent="0.25">
      <c r="B1413" s="2"/>
      <c r="C1413" s="2"/>
      <c r="D1413" s="2"/>
      <c r="E1413" s="2"/>
      <c r="F1413" s="2"/>
      <c r="G1413" s="2"/>
      <c r="H1413" s="2"/>
      <c r="I1413" s="2"/>
      <c r="J1413" s="2"/>
      <c r="K1413" s="2"/>
      <c r="L1413" s="2"/>
    </row>
    <row r="1414" spans="2:12" ht="13.2" x14ac:dyDescent="0.25">
      <c r="B1414" s="2"/>
      <c r="C1414" s="2"/>
      <c r="D1414" s="2"/>
      <c r="E1414" s="2"/>
      <c r="F1414" s="2"/>
      <c r="G1414" s="2"/>
      <c r="H1414" s="2"/>
      <c r="I1414" s="2"/>
      <c r="J1414" s="2"/>
      <c r="K1414" s="2"/>
      <c r="L1414" s="2"/>
    </row>
    <row r="1415" spans="2:12" ht="13.2" x14ac:dyDescent="0.25">
      <c r="B1415" s="2"/>
      <c r="C1415" s="2"/>
      <c r="D1415" s="2"/>
      <c r="E1415" s="2"/>
      <c r="F1415" s="2"/>
      <c r="G1415" s="2"/>
      <c r="H1415" s="2"/>
      <c r="I1415" s="2"/>
      <c r="J1415" s="2"/>
      <c r="K1415" s="2"/>
      <c r="L1415" s="2"/>
    </row>
    <row r="1416" spans="2:12" ht="13.2" x14ac:dyDescent="0.25">
      <c r="B1416" s="2"/>
      <c r="C1416" s="2"/>
      <c r="D1416" s="2"/>
      <c r="E1416" s="2"/>
      <c r="F1416" s="2"/>
      <c r="G1416" s="2"/>
      <c r="H1416" s="2"/>
      <c r="I1416" s="2"/>
      <c r="J1416" s="2"/>
      <c r="K1416" s="2"/>
      <c r="L1416" s="2"/>
    </row>
    <row r="1417" spans="2:12" ht="13.2" x14ac:dyDescent="0.25">
      <c r="B1417" s="2"/>
      <c r="C1417" s="2"/>
      <c r="D1417" s="2"/>
      <c r="E1417" s="2"/>
      <c r="F1417" s="2"/>
      <c r="G1417" s="2"/>
      <c r="H1417" s="2"/>
      <c r="I1417" s="2"/>
      <c r="J1417" s="2"/>
      <c r="K1417" s="2"/>
      <c r="L1417" s="2"/>
    </row>
    <row r="1418" spans="2:12" ht="13.2" x14ac:dyDescent="0.25">
      <c r="B1418" s="2"/>
      <c r="C1418" s="2"/>
      <c r="D1418" s="2"/>
      <c r="E1418" s="2"/>
      <c r="F1418" s="2"/>
      <c r="G1418" s="2"/>
      <c r="H1418" s="2"/>
      <c r="I1418" s="2"/>
      <c r="J1418" s="2"/>
      <c r="K1418" s="2"/>
      <c r="L1418" s="2"/>
    </row>
    <row r="1419" spans="2:12" ht="13.2" x14ac:dyDescent="0.25">
      <c r="B1419" s="2"/>
      <c r="C1419" s="2"/>
      <c r="D1419" s="2"/>
      <c r="E1419" s="2"/>
      <c r="F1419" s="2"/>
      <c r="G1419" s="2"/>
      <c r="H1419" s="2"/>
      <c r="I1419" s="2"/>
      <c r="J1419" s="2"/>
      <c r="K1419" s="2"/>
      <c r="L1419" s="2"/>
    </row>
    <row r="1420" spans="2:12" ht="13.2" x14ac:dyDescent="0.25">
      <c r="B1420" s="2"/>
      <c r="C1420" s="2"/>
      <c r="D1420" s="2"/>
      <c r="E1420" s="2"/>
      <c r="F1420" s="2"/>
      <c r="G1420" s="2"/>
      <c r="H1420" s="2"/>
      <c r="I1420" s="2"/>
      <c r="J1420" s="2"/>
      <c r="K1420" s="2"/>
      <c r="L1420" s="2"/>
    </row>
    <row r="1421" spans="2:12" ht="13.2" x14ac:dyDescent="0.25">
      <c r="B1421" s="2"/>
      <c r="C1421" s="2"/>
      <c r="D1421" s="2"/>
      <c r="E1421" s="2"/>
      <c r="F1421" s="2"/>
      <c r="G1421" s="2"/>
      <c r="H1421" s="2"/>
      <c r="I1421" s="2"/>
      <c r="J1421" s="2"/>
      <c r="K1421" s="2"/>
      <c r="L1421" s="2"/>
    </row>
    <row r="1422" spans="2:12" ht="13.2" x14ac:dyDescent="0.25">
      <c r="B1422" s="2"/>
      <c r="C1422" s="2"/>
      <c r="D1422" s="2"/>
      <c r="E1422" s="2"/>
      <c r="F1422" s="2"/>
      <c r="G1422" s="2"/>
      <c r="H1422" s="2"/>
      <c r="I1422" s="2"/>
      <c r="J1422" s="2"/>
      <c r="K1422" s="2"/>
      <c r="L1422" s="2"/>
    </row>
    <row r="1423" spans="2:12" ht="13.2" x14ac:dyDescent="0.25">
      <c r="B1423" s="2"/>
      <c r="C1423" s="2"/>
      <c r="D1423" s="2"/>
      <c r="E1423" s="2"/>
      <c r="F1423" s="2"/>
      <c r="G1423" s="2"/>
      <c r="H1423" s="2"/>
      <c r="I1423" s="2"/>
      <c r="J1423" s="2"/>
      <c r="K1423" s="2"/>
      <c r="L1423" s="2"/>
    </row>
    <row r="1424" spans="2:12" ht="13.2" x14ac:dyDescent="0.25">
      <c r="B1424" s="2"/>
      <c r="C1424" s="2"/>
      <c r="D1424" s="2"/>
      <c r="E1424" s="2"/>
      <c r="F1424" s="2"/>
      <c r="G1424" s="2"/>
      <c r="H1424" s="2"/>
      <c r="I1424" s="2"/>
      <c r="J1424" s="2"/>
      <c r="K1424" s="2"/>
      <c r="L1424" s="2"/>
    </row>
    <row r="1425" spans="2:12" ht="13.2" x14ac:dyDescent="0.25">
      <c r="B1425" s="2"/>
      <c r="C1425" s="2"/>
      <c r="D1425" s="2"/>
      <c r="E1425" s="2"/>
      <c r="F1425" s="2"/>
      <c r="G1425" s="2"/>
      <c r="H1425" s="2"/>
      <c r="I1425" s="2"/>
      <c r="J1425" s="2"/>
      <c r="K1425" s="2"/>
      <c r="L1425" s="2"/>
    </row>
    <row r="1426" spans="2:12" ht="13.2" x14ac:dyDescent="0.25">
      <c r="B1426" s="2"/>
      <c r="C1426" s="2"/>
      <c r="D1426" s="2"/>
      <c r="E1426" s="2"/>
      <c r="F1426" s="2"/>
      <c r="G1426" s="2"/>
      <c r="H1426" s="2"/>
      <c r="I1426" s="2"/>
      <c r="J1426" s="2"/>
      <c r="K1426" s="2"/>
      <c r="L1426" s="2"/>
    </row>
    <row r="1427" spans="2:12" ht="13.2" x14ac:dyDescent="0.25">
      <c r="B1427" s="2"/>
      <c r="C1427" s="2"/>
      <c r="D1427" s="2"/>
      <c r="E1427" s="2"/>
      <c r="F1427" s="2"/>
      <c r="G1427" s="2"/>
      <c r="H1427" s="2"/>
      <c r="I1427" s="2"/>
      <c r="J1427" s="2"/>
      <c r="K1427" s="2"/>
      <c r="L1427" s="2"/>
    </row>
    <row r="1428" spans="2:12" ht="13.2" x14ac:dyDescent="0.25">
      <c r="B1428" s="2"/>
      <c r="C1428" s="2"/>
      <c r="D1428" s="2"/>
      <c r="E1428" s="2"/>
      <c r="F1428" s="2"/>
      <c r="G1428" s="2"/>
      <c r="H1428" s="2"/>
      <c r="I1428" s="2"/>
      <c r="J1428" s="2"/>
      <c r="K1428" s="2"/>
      <c r="L1428" s="2"/>
    </row>
    <row r="1429" spans="2:12" ht="13.2" x14ac:dyDescent="0.25">
      <c r="B1429" s="2"/>
      <c r="C1429" s="2"/>
      <c r="D1429" s="2"/>
      <c r="E1429" s="2"/>
      <c r="F1429" s="2"/>
      <c r="G1429" s="2"/>
      <c r="H1429" s="2"/>
      <c r="I1429" s="2"/>
      <c r="J1429" s="2"/>
      <c r="K1429" s="2"/>
      <c r="L1429" s="2"/>
    </row>
    <row r="1430" spans="2:12" ht="13.2" x14ac:dyDescent="0.25">
      <c r="B1430" s="2"/>
      <c r="C1430" s="2"/>
      <c r="D1430" s="2"/>
      <c r="E1430" s="2"/>
      <c r="F1430" s="2"/>
      <c r="G1430" s="2"/>
      <c r="H1430" s="2"/>
      <c r="I1430" s="2"/>
      <c r="J1430" s="2"/>
      <c r="K1430" s="2"/>
      <c r="L1430" s="2"/>
    </row>
    <row r="1431" spans="2:12" ht="13.2" x14ac:dyDescent="0.25">
      <c r="B1431" s="2"/>
      <c r="C1431" s="2"/>
      <c r="D1431" s="2"/>
      <c r="E1431" s="2"/>
      <c r="F1431" s="2"/>
      <c r="G1431" s="2"/>
      <c r="H1431" s="2"/>
      <c r="I1431" s="2"/>
      <c r="J1431" s="2"/>
      <c r="K1431" s="2"/>
      <c r="L1431" s="2"/>
    </row>
    <row r="1432" spans="2:12" ht="13.2" x14ac:dyDescent="0.25">
      <c r="B1432" s="2"/>
      <c r="C1432" s="2"/>
      <c r="D1432" s="2"/>
      <c r="E1432" s="2"/>
      <c r="F1432" s="2"/>
      <c r="G1432" s="2"/>
      <c r="H1432" s="2"/>
      <c r="I1432" s="2"/>
      <c r="J1432" s="2"/>
      <c r="K1432" s="2"/>
      <c r="L1432" s="2"/>
    </row>
    <row r="1433" spans="2:12" ht="13.2" x14ac:dyDescent="0.25">
      <c r="B1433" s="2"/>
      <c r="C1433" s="2"/>
      <c r="D1433" s="2"/>
      <c r="E1433" s="2"/>
      <c r="F1433" s="2"/>
      <c r="G1433" s="2"/>
      <c r="H1433" s="2"/>
      <c r="I1433" s="2"/>
      <c r="J1433" s="2"/>
      <c r="K1433" s="2"/>
      <c r="L1433" s="2"/>
    </row>
    <row r="1434" spans="2:12" ht="13.2" x14ac:dyDescent="0.25">
      <c r="B1434" s="2"/>
      <c r="C1434" s="2"/>
      <c r="D1434" s="2"/>
      <c r="E1434" s="2"/>
      <c r="F1434" s="2"/>
      <c r="G1434" s="2"/>
      <c r="H1434" s="2"/>
      <c r="I1434" s="2"/>
      <c r="J1434" s="2"/>
      <c r="K1434" s="2"/>
      <c r="L1434" s="2"/>
    </row>
    <row r="1435" spans="2:12" ht="13.2" x14ac:dyDescent="0.25">
      <c r="B1435" s="2"/>
      <c r="C1435" s="2"/>
      <c r="D1435" s="2"/>
      <c r="E1435" s="2"/>
      <c r="F1435" s="2"/>
      <c r="G1435" s="2"/>
      <c r="H1435" s="2"/>
      <c r="I1435" s="2"/>
      <c r="J1435" s="2"/>
      <c r="K1435" s="2"/>
      <c r="L1435" s="2"/>
    </row>
    <row r="1436" spans="2:12" ht="13.2" x14ac:dyDescent="0.25">
      <c r="B1436" s="2"/>
      <c r="C1436" s="2"/>
      <c r="D1436" s="2"/>
      <c r="E1436" s="2"/>
      <c r="F1436" s="2"/>
      <c r="G1436" s="2"/>
      <c r="H1436" s="2"/>
      <c r="I1436" s="2"/>
      <c r="J1436" s="2"/>
      <c r="K1436" s="2"/>
      <c r="L1436" s="2"/>
    </row>
    <row r="1437" spans="2:12" ht="13.2" x14ac:dyDescent="0.25">
      <c r="B1437" s="2"/>
      <c r="C1437" s="2"/>
      <c r="D1437" s="2"/>
      <c r="E1437" s="2"/>
      <c r="F1437" s="2"/>
      <c r="G1437" s="2"/>
      <c r="H1437" s="2"/>
      <c r="I1437" s="2"/>
      <c r="J1437" s="2"/>
      <c r="K1437" s="2"/>
      <c r="L1437" s="2"/>
    </row>
    <row r="1438" spans="2:12" ht="13.2" x14ac:dyDescent="0.25">
      <c r="B1438" s="2"/>
      <c r="C1438" s="2"/>
      <c r="D1438" s="2"/>
      <c r="E1438" s="2"/>
      <c r="F1438" s="2"/>
      <c r="G1438" s="2"/>
      <c r="H1438" s="2"/>
      <c r="I1438" s="2"/>
      <c r="J1438" s="2"/>
      <c r="K1438" s="2"/>
      <c r="L1438" s="2"/>
    </row>
    <row r="1439" spans="2:12" ht="13.2" x14ac:dyDescent="0.25">
      <c r="B1439" s="2"/>
      <c r="C1439" s="2"/>
      <c r="D1439" s="2"/>
      <c r="E1439" s="2"/>
      <c r="F1439" s="2"/>
      <c r="G1439" s="2"/>
      <c r="H1439" s="2"/>
      <c r="I1439" s="2"/>
      <c r="J1439" s="2"/>
      <c r="K1439" s="2"/>
      <c r="L1439" s="2"/>
    </row>
    <row r="1440" spans="2:12" ht="13.2" x14ac:dyDescent="0.25">
      <c r="B1440" s="2"/>
      <c r="C1440" s="2"/>
      <c r="D1440" s="2"/>
      <c r="E1440" s="2"/>
      <c r="F1440" s="2"/>
      <c r="G1440" s="2"/>
      <c r="H1440" s="2"/>
      <c r="I1440" s="2"/>
      <c r="J1440" s="2"/>
      <c r="K1440" s="2"/>
      <c r="L1440" s="2"/>
    </row>
    <row r="1441" spans="2:12" ht="13.2" x14ac:dyDescent="0.25">
      <c r="B1441" s="2"/>
      <c r="C1441" s="2"/>
      <c r="D1441" s="2"/>
      <c r="E1441" s="2"/>
      <c r="F1441" s="2"/>
      <c r="G1441" s="2"/>
      <c r="H1441" s="2"/>
      <c r="I1441" s="2"/>
      <c r="J1441" s="2"/>
      <c r="K1441" s="2"/>
      <c r="L1441" s="2"/>
    </row>
    <row r="1442" spans="2:12" ht="13.2" x14ac:dyDescent="0.25">
      <c r="B1442" s="2"/>
      <c r="C1442" s="2"/>
      <c r="D1442" s="2"/>
      <c r="E1442" s="2"/>
      <c r="F1442" s="2"/>
      <c r="G1442" s="2"/>
      <c r="H1442" s="2"/>
      <c r="I1442" s="2"/>
      <c r="J1442" s="2"/>
      <c r="K1442" s="2"/>
      <c r="L1442" s="2"/>
    </row>
    <row r="1443" spans="2:12" ht="13.2" x14ac:dyDescent="0.25">
      <c r="B1443" s="2"/>
      <c r="C1443" s="2"/>
      <c r="D1443" s="2"/>
      <c r="E1443" s="2"/>
      <c r="F1443" s="2"/>
      <c r="G1443" s="2"/>
      <c r="H1443" s="2"/>
      <c r="I1443" s="2"/>
      <c r="J1443" s="2"/>
      <c r="K1443" s="2"/>
      <c r="L1443" s="2"/>
    </row>
    <row r="1444" spans="2:12" ht="13.2" x14ac:dyDescent="0.25">
      <c r="B1444" s="2"/>
      <c r="C1444" s="2"/>
      <c r="D1444" s="2"/>
      <c r="E1444" s="2"/>
      <c r="F1444" s="2"/>
      <c r="G1444" s="2"/>
      <c r="H1444" s="2"/>
      <c r="I1444" s="2"/>
      <c r="J1444" s="2"/>
      <c r="K1444" s="2"/>
      <c r="L1444" s="2"/>
    </row>
    <row r="1445" spans="2:12" ht="13.2" x14ac:dyDescent="0.25">
      <c r="B1445" s="2"/>
      <c r="C1445" s="2"/>
      <c r="D1445" s="2"/>
      <c r="E1445" s="2"/>
      <c r="F1445" s="2"/>
      <c r="G1445" s="2"/>
      <c r="H1445" s="2"/>
      <c r="I1445" s="2"/>
      <c r="J1445" s="2"/>
      <c r="K1445" s="2"/>
      <c r="L1445" s="2"/>
    </row>
    <row r="1446" spans="2:12" ht="13.2" x14ac:dyDescent="0.25">
      <c r="B1446" s="2"/>
      <c r="C1446" s="2"/>
      <c r="D1446" s="2"/>
      <c r="E1446" s="2"/>
      <c r="F1446" s="2"/>
      <c r="G1446" s="2"/>
      <c r="H1446" s="2"/>
      <c r="I1446" s="2"/>
      <c r="J1446" s="2"/>
      <c r="K1446" s="2"/>
      <c r="L1446" s="2"/>
    </row>
    <row r="1447" spans="2:12" ht="13.2" x14ac:dyDescent="0.25">
      <c r="B1447" s="2"/>
      <c r="C1447" s="2"/>
      <c r="D1447" s="2"/>
      <c r="E1447" s="2"/>
      <c r="F1447" s="2"/>
      <c r="G1447" s="2"/>
      <c r="H1447" s="2"/>
      <c r="I1447" s="2"/>
      <c r="J1447" s="2"/>
      <c r="K1447" s="2"/>
      <c r="L1447" s="2"/>
    </row>
    <row r="1448" spans="2:12" ht="13.2" x14ac:dyDescent="0.25">
      <c r="B1448" s="2"/>
      <c r="C1448" s="2"/>
      <c r="D1448" s="2"/>
      <c r="E1448" s="2"/>
      <c r="F1448" s="2"/>
      <c r="G1448" s="2"/>
      <c r="H1448" s="2"/>
      <c r="I1448" s="2"/>
      <c r="J1448" s="2"/>
      <c r="K1448" s="2"/>
      <c r="L1448" s="2"/>
    </row>
    <row r="1449" spans="2:12" ht="13.2" x14ac:dyDescent="0.25">
      <c r="B1449" s="2"/>
      <c r="C1449" s="2"/>
      <c r="D1449" s="2"/>
      <c r="E1449" s="2"/>
      <c r="F1449" s="2"/>
      <c r="G1449" s="2"/>
      <c r="H1449" s="2"/>
      <c r="I1449" s="2"/>
      <c r="J1449" s="2"/>
      <c r="K1449" s="2"/>
      <c r="L1449" s="2"/>
    </row>
    <row r="1450" spans="2:12" ht="13.2" x14ac:dyDescent="0.25">
      <c r="B1450" s="2"/>
      <c r="C1450" s="2"/>
      <c r="D1450" s="2"/>
      <c r="E1450" s="2"/>
      <c r="F1450" s="2"/>
      <c r="G1450" s="2"/>
      <c r="H1450" s="2"/>
      <c r="I1450" s="2"/>
      <c r="J1450" s="2"/>
      <c r="K1450" s="2"/>
      <c r="L1450" s="2"/>
    </row>
    <row r="1451" spans="2:12" ht="13.2" x14ac:dyDescent="0.25">
      <c r="B1451" s="2"/>
      <c r="C1451" s="2"/>
      <c r="D1451" s="2"/>
      <c r="E1451" s="2"/>
      <c r="F1451" s="2"/>
      <c r="G1451" s="2"/>
      <c r="H1451" s="2"/>
      <c r="I1451" s="2"/>
      <c r="J1451" s="2"/>
      <c r="K1451" s="2"/>
      <c r="L1451" s="2"/>
    </row>
    <row r="1452" spans="2:12" ht="13.2" x14ac:dyDescent="0.25">
      <c r="B1452" s="2"/>
      <c r="C1452" s="2"/>
      <c r="D1452" s="2"/>
      <c r="E1452" s="2"/>
      <c r="F1452" s="2"/>
      <c r="G1452" s="2"/>
      <c r="H1452" s="2"/>
      <c r="I1452" s="2"/>
      <c r="J1452" s="2"/>
      <c r="K1452" s="2"/>
      <c r="L1452" s="2"/>
    </row>
    <row r="1453" spans="2:12" ht="13.2" x14ac:dyDescent="0.25">
      <c r="B1453" s="2"/>
      <c r="C1453" s="2"/>
      <c r="D1453" s="2"/>
      <c r="E1453" s="2"/>
      <c r="F1453" s="2"/>
      <c r="G1453" s="2"/>
      <c r="H1453" s="2"/>
      <c r="I1453" s="2"/>
      <c r="J1453" s="2"/>
      <c r="K1453" s="2"/>
      <c r="L1453" s="2"/>
    </row>
    <row r="1454" spans="2:12" ht="13.2" x14ac:dyDescent="0.25">
      <c r="B1454" s="2"/>
      <c r="C1454" s="2"/>
      <c r="D1454" s="2"/>
      <c r="E1454" s="2"/>
      <c r="F1454" s="2"/>
      <c r="G1454" s="2"/>
      <c r="H1454" s="2"/>
      <c r="I1454" s="2"/>
      <c r="J1454" s="2"/>
      <c r="K1454" s="2"/>
      <c r="L1454" s="2"/>
    </row>
    <row r="1455" spans="2:12" ht="13.2" x14ac:dyDescent="0.25">
      <c r="B1455" s="2"/>
      <c r="C1455" s="2"/>
      <c r="D1455" s="2"/>
      <c r="E1455" s="2"/>
      <c r="F1455" s="2"/>
      <c r="G1455" s="2"/>
      <c r="H1455" s="2"/>
      <c r="I1455" s="2"/>
      <c r="J1455" s="2"/>
      <c r="K1455" s="2"/>
      <c r="L1455" s="2"/>
    </row>
    <row r="1456" spans="2:12" ht="13.2" x14ac:dyDescent="0.25">
      <c r="B1456" s="2"/>
      <c r="C1456" s="2"/>
      <c r="D1456" s="2"/>
      <c r="E1456" s="2"/>
      <c r="F1456" s="2"/>
      <c r="G1456" s="2"/>
      <c r="H1456" s="2"/>
      <c r="I1456" s="2"/>
      <c r="J1456" s="2"/>
      <c r="K1456" s="2"/>
      <c r="L1456" s="2"/>
    </row>
    <row r="1457" spans="2:12" ht="13.2" x14ac:dyDescent="0.25">
      <c r="B1457" s="2"/>
      <c r="C1457" s="2"/>
      <c r="D1457" s="2"/>
      <c r="E1457" s="2"/>
      <c r="F1457" s="2"/>
      <c r="G1457" s="2"/>
      <c r="H1457" s="2"/>
      <c r="I1457" s="2"/>
      <c r="J1457" s="2"/>
      <c r="K1457" s="2"/>
      <c r="L1457" s="2"/>
    </row>
    <row r="1458" spans="2:12" ht="13.2" x14ac:dyDescent="0.25">
      <c r="B1458" s="2"/>
      <c r="C1458" s="2"/>
      <c r="D1458" s="2"/>
      <c r="E1458" s="2"/>
      <c r="F1458" s="2"/>
      <c r="G1458" s="2"/>
      <c r="H1458" s="2"/>
      <c r="I1458" s="2"/>
      <c r="J1458" s="2"/>
      <c r="K1458" s="2"/>
      <c r="L1458" s="2"/>
    </row>
    <row r="1459" spans="2:12" ht="13.2" x14ac:dyDescent="0.25">
      <c r="B1459" s="2"/>
      <c r="C1459" s="2"/>
      <c r="D1459" s="2"/>
      <c r="E1459" s="2"/>
      <c r="F1459" s="2"/>
      <c r="G1459" s="2"/>
      <c r="H1459" s="2"/>
      <c r="I1459" s="2"/>
      <c r="J1459" s="2"/>
      <c r="K1459" s="2"/>
      <c r="L1459" s="2"/>
    </row>
    <row r="1460" spans="2:12" ht="13.2" x14ac:dyDescent="0.25">
      <c r="B1460" s="2"/>
      <c r="C1460" s="2"/>
      <c r="D1460" s="2"/>
      <c r="E1460" s="2"/>
      <c r="F1460" s="2"/>
      <c r="G1460" s="2"/>
      <c r="H1460" s="2"/>
      <c r="I1460" s="2"/>
      <c r="J1460" s="2"/>
      <c r="K1460" s="2"/>
      <c r="L1460" s="2"/>
    </row>
    <row r="1461" spans="2:12" ht="13.2" x14ac:dyDescent="0.25">
      <c r="B1461" s="2"/>
      <c r="C1461" s="2"/>
      <c r="D1461" s="2"/>
      <c r="E1461" s="2"/>
      <c r="F1461" s="2"/>
      <c r="G1461" s="2"/>
      <c r="H1461" s="2"/>
      <c r="I1461" s="2"/>
      <c r="J1461" s="2"/>
      <c r="K1461" s="2"/>
      <c r="L1461" s="2"/>
    </row>
    <row r="1462" spans="2:12" ht="13.2" x14ac:dyDescent="0.25">
      <c r="B1462" s="2"/>
      <c r="C1462" s="2"/>
      <c r="D1462" s="2"/>
      <c r="E1462" s="2"/>
      <c r="F1462" s="2"/>
      <c r="G1462" s="2"/>
      <c r="H1462" s="2"/>
      <c r="I1462" s="2"/>
      <c r="J1462" s="2"/>
      <c r="K1462" s="2"/>
      <c r="L1462" s="2"/>
    </row>
    <row r="1463" spans="2:12" ht="13.2" x14ac:dyDescent="0.25">
      <c r="B1463" s="2"/>
      <c r="C1463" s="2"/>
      <c r="D1463" s="2"/>
      <c r="E1463" s="2"/>
      <c r="F1463" s="2"/>
      <c r="G1463" s="2"/>
      <c r="H1463" s="2"/>
      <c r="I1463" s="2"/>
      <c r="J1463" s="2"/>
      <c r="K1463" s="2"/>
      <c r="L1463" s="2"/>
    </row>
    <row r="1464" spans="2:12" ht="13.2" x14ac:dyDescent="0.25">
      <c r="B1464" s="2"/>
      <c r="C1464" s="2"/>
      <c r="D1464" s="2"/>
      <c r="E1464" s="2"/>
      <c r="F1464" s="2"/>
      <c r="G1464" s="2"/>
      <c r="H1464" s="2"/>
      <c r="I1464" s="2"/>
      <c r="J1464" s="2"/>
      <c r="K1464" s="2"/>
      <c r="L1464" s="2"/>
    </row>
    <row r="1465" spans="2:12" ht="13.2" x14ac:dyDescent="0.25">
      <c r="B1465" s="2"/>
      <c r="C1465" s="2"/>
      <c r="D1465" s="2"/>
      <c r="E1465" s="2"/>
      <c r="F1465" s="2"/>
      <c r="G1465" s="2"/>
      <c r="H1465" s="2"/>
      <c r="I1465" s="2"/>
      <c r="J1465" s="2"/>
      <c r="K1465" s="2"/>
      <c r="L1465" s="2"/>
    </row>
    <row r="1466" spans="2:12" ht="13.2" x14ac:dyDescent="0.25">
      <c r="B1466" s="2"/>
      <c r="C1466" s="2"/>
      <c r="D1466" s="2"/>
      <c r="E1466" s="2"/>
      <c r="F1466" s="2"/>
      <c r="G1466" s="2"/>
      <c r="H1466" s="2"/>
      <c r="I1466" s="2"/>
      <c r="J1466" s="2"/>
      <c r="K1466" s="2"/>
      <c r="L1466" s="2"/>
    </row>
    <row r="1467" spans="2:12" ht="13.2" x14ac:dyDescent="0.25">
      <c r="B1467" s="2"/>
      <c r="C1467" s="2"/>
      <c r="D1467" s="2"/>
      <c r="E1467" s="2"/>
      <c r="F1467" s="2"/>
      <c r="G1467" s="2"/>
      <c r="H1467" s="2"/>
      <c r="I1467" s="2"/>
      <c r="J1467" s="2"/>
      <c r="K1467" s="2"/>
      <c r="L1467" s="2"/>
    </row>
    <row r="1468" spans="2:12" ht="13.2" x14ac:dyDescent="0.25">
      <c r="B1468" s="2"/>
      <c r="C1468" s="2"/>
      <c r="D1468" s="2"/>
      <c r="E1468" s="2"/>
      <c r="F1468" s="2"/>
      <c r="G1468" s="2"/>
      <c r="H1468" s="2"/>
      <c r="I1468" s="2"/>
      <c r="J1468" s="2"/>
      <c r="K1468" s="2"/>
      <c r="L1468" s="2"/>
    </row>
    <row r="1469" spans="2:12" ht="13.2" x14ac:dyDescent="0.25">
      <c r="B1469" s="2"/>
      <c r="C1469" s="2"/>
      <c r="D1469" s="2"/>
      <c r="E1469" s="2"/>
      <c r="F1469" s="2"/>
      <c r="G1469" s="2"/>
      <c r="H1469" s="2"/>
      <c r="I1469" s="2"/>
      <c r="J1469" s="2"/>
      <c r="K1469" s="2"/>
      <c r="L1469" s="2"/>
    </row>
    <row r="1470" spans="2:12" ht="13.2" x14ac:dyDescent="0.25">
      <c r="B1470" s="2"/>
      <c r="C1470" s="2"/>
      <c r="D1470" s="2"/>
      <c r="E1470" s="2"/>
      <c r="F1470" s="2"/>
      <c r="G1470" s="2"/>
      <c r="H1470" s="2"/>
      <c r="I1470" s="2"/>
      <c r="J1470" s="2"/>
      <c r="K1470" s="2"/>
      <c r="L1470" s="2"/>
    </row>
    <row r="1471" spans="2:12" ht="13.2" x14ac:dyDescent="0.25">
      <c r="B1471" s="2"/>
      <c r="C1471" s="2"/>
      <c r="D1471" s="2"/>
      <c r="E1471" s="2"/>
      <c r="F1471" s="2"/>
      <c r="G1471" s="2"/>
      <c r="H1471" s="2"/>
      <c r="I1471" s="2"/>
      <c r="J1471" s="2"/>
      <c r="K1471" s="2"/>
      <c r="L1471" s="2"/>
    </row>
    <row r="1472" spans="2:12" ht="13.2" x14ac:dyDescent="0.25">
      <c r="B1472" s="2"/>
      <c r="C1472" s="2"/>
      <c r="D1472" s="2"/>
      <c r="E1472" s="2"/>
      <c r="F1472" s="2"/>
      <c r="G1472" s="2"/>
      <c r="H1472" s="2"/>
      <c r="I1472" s="2"/>
      <c r="J1472" s="2"/>
      <c r="K1472" s="2"/>
      <c r="L1472" s="2"/>
    </row>
    <row r="1473" spans="2:12" ht="13.2" x14ac:dyDescent="0.25">
      <c r="B1473" s="2"/>
      <c r="C1473" s="2"/>
      <c r="D1473" s="2"/>
      <c r="E1473" s="2"/>
      <c r="F1473" s="2"/>
      <c r="G1473" s="2"/>
      <c r="H1473" s="2"/>
      <c r="I1473" s="2"/>
      <c r="J1473" s="2"/>
      <c r="K1473" s="2"/>
      <c r="L1473" s="2"/>
    </row>
    <row r="1474" spans="2:12" ht="13.2" x14ac:dyDescent="0.25">
      <c r="B1474" s="2"/>
      <c r="C1474" s="2"/>
      <c r="D1474" s="2"/>
      <c r="E1474" s="2"/>
      <c r="F1474" s="2"/>
      <c r="G1474" s="2"/>
      <c r="H1474" s="2"/>
      <c r="I1474" s="2"/>
      <c r="J1474" s="2"/>
      <c r="K1474" s="2"/>
      <c r="L1474" s="2"/>
    </row>
    <row r="1475" spans="2:12" ht="13.2" x14ac:dyDescent="0.25">
      <c r="B1475" s="2"/>
      <c r="C1475" s="2"/>
      <c r="D1475" s="2"/>
      <c r="E1475" s="2"/>
      <c r="F1475" s="2"/>
      <c r="G1475" s="2"/>
      <c r="H1475" s="2"/>
      <c r="I1475" s="2"/>
      <c r="J1475" s="2"/>
      <c r="K1475" s="2"/>
      <c r="L1475" s="2"/>
    </row>
    <row r="1476" spans="2:12" ht="13.2" x14ac:dyDescent="0.25">
      <c r="B1476" s="2"/>
      <c r="C1476" s="2"/>
      <c r="D1476" s="2"/>
      <c r="E1476" s="2"/>
      <c r="F1476" s="2"/>
      <c r="G1476" s="2"/>
      <c r="H1476" s="2"/>
      <c r="I1476" s="2"/>
      <c r="J1476" s="2"/>
      <c r="K1476" s="2"/>
      <c r="L1476" s="2"/>
    </row>
    <row r="1477" spans="2:12" ht="13.2" x14ac:dyDescent="0.25">
      <c r="B1477" s="2"/>
      <c r="C1477" s="2"/>
      <c r="D1477" s="2"/>
      <c r="E1477" s="2"/>
      <c r="F1477" s="2"/>
      <c r="G1477" s="2"/>
      <c r="H1477" s="2"/>
      <c r="I1477" s="2"/>
      <c r="J1477" s="2"/>
      <c r="K1477" s="2"/>
      <c r="L1477" s="2"/>
    </row>
    <row r="1478" spans="2:12" ht="13.2" x14ac:dyDescent="0.25">
      <c r="B1478" s="2"/>
      <c r="C1478" s="2"/>
      <c r="D1478" s="2"/>
      <c r="E1478" s="2"/>
      <c r="F1478" s="2"/>
      <c r="G1478" s="2"/>
      <c r="H1478" s="2"/>
      <c r="I1478" s="2"/>
      <c r="J1478" s="2"/>
      <c r="K1478" s="2"/>
      <c r="L1478" s="2"/>
    </row>
    <row r="1479" spans="2:12" ht="13.2" x14ac:dyDescent="0.25">
      <c r="B1479" s="2"/>
      <c r="C1479" s="2"/>
      <c r="D1479" s="2"/>
      <c r="E1479" s="2"/>
      <c r="F1479" s="2"/>
      <c r="G1479" s="2"/>
      <c r="H1479" s="2"/>
      <c r="I1479" s="2"/>
      <c r="J1479" s="2"/>
      <c r="K1479" s="2"/>
      <c r="L1479" s="2"/>
    </row>
    <row r="1480" spans="2:12" ht="13.2" x14ac:dyDescent="0.25">
      <c r="B1480" s="2"/>
      <c r="C1480" s="2"/>
      <c r="D1480" s="2"/>
      <c r="E1480" s="2"/>
      <c r="F1480" s="2"/>
      <c r="G1480" s="2"/>
      <c r="H1480" s="2"/>
      <c r="I1480" s="2"/>
      <c r="J1480" s="2"/>
      <c r="K1480" s="2"/>
      <c r="L1480" s="2"/>
    </row>
    <row r="1481" spans="2:12" ht="13.2" x14ac:dyDescent="0.25">
      <c r="B1481" s="2"/>
      <c r="C1481" s="2"/>
      <c r="D1481" s="2"/>
      <c r="E1481" s="2"/>
      <c r="F1481" s="2"/>
      <c r="G1481" s="2"/>
      <c r="H1481" s="2"/>
      <c r="I1481" s="2"/>
      <c r="J1481" s="2"/>
      <c r="K1481" s="2"/>
      <c r="L1481" s="2"/>
    </row>
    <row r="1482" spans="2:12" ht="13.2" x14ac:dyDescent="0.25">
      <c r="B1482" s="2"/>
      <c r="C1482" s="2"/>
      <c r="D1482" s="2"/>
      <c r="E1482" s="2"/>
      <c r="F1482" s="2"/>
      <c r="G1482" s="2"/>
      <c r="H1482" s="2"/>
      <c r="I1482" s="2"/>
      <c r="J1482" s="2"/>
      <c r="K1482" s="2"/>
      <c r="L1482" s="2"/>
    </row>
    <row r="1483" spans="2:12" ht="13.2" x14ac:dyDescent="0.25">
      <c r="B1483" s="2"/>
      <c r="C1483" s="2"/>
      <c r="D1483" s="2"/>
      <c r="E1483" s="2"/>
      <c r="F1483" s="2"/>
      <c r="G1483" s="2"/>
      <c r="H1483" s="2"/>
      <c r="I1483" s="2"/>
      <c r="J1483" s="2"/>
      <c r="K1483" s="2"/>
      <c r="L1483" s="2"/>
    </row>
    <row r="1484" spans="2:12" ht="13.2" x14ac:dyDescent="0.25">
      <c r="B1484" s="2"/>
      <c r="C1484" s="2"/>
      <c r="D1484" s="2"/>
      <c r="E1484" s="2"/>
      <c r="F1484" s="2"/>
      <c r="G1484" s="2"/>
      <c r="H1484" s="2"/>
      <c r="I1484" s="2"/>
      <c r="J1484" s="2"/>
      <c r="K1484" s="2"/>
      <c r="L1484" s="2"/>
    </row>
    <row r="1485" spans="2:12" ht="13.2" x14ac:dyDescent="0.25">
      <c r="B1485" s="2"/>
      <c r="C1485" s="2"/>
      <c r="D1485" s="2"/>
      <c r="E1485" s="2"/>
      <c r="F1485" s="2"/>
      <c r="G1485" s="2"/>
      <c r="H1485" s="2"/>
      <c r="I1485" s="2"/>
      <c r="J1485" s="2"/>
      <c r="K1485" s="2"/>
      <c r="L1485" s="2"/>
    </row>
    <row r="1486" spans="2:12" ht="13.2" x14ac:dyDescent="0.25">
      <c r="B1486" s="2"/>
      <c r="C1486" s="2"/>
      <c r="D1486" s="2"/>
      <c r="E1486" s="2"/>
      <c r="F1486" s="2"/>
      <c r="G1486" s="2"/>
      <c r="H1486" s="2"/>
      <c r="I1486" s="2"/>
      <c r="J1486" s="2"/>
      <c r="K1486" s="2"/>
      <c r="L1486" s="2"/>
    </row>
    <row r="1487" spans="2:12" ht="13.2" x14ac:dyDescent="0.25">
      <c r="B1487" s="2"/>
      <c r="C1487" s="2"/>
      <c r="D1487" s="2"/>
      <c r="E1487" s="2"/>
      <c r="F1487" s="2"/>
      <c r="G1487" s="2"/>
      <c r="H1487" s="2"/>
      <c r="I1487" s="2"/>
      <c r="J1487" s="2"/>
      <c r="K1487" s="2"/>
      <c r="L1487" s="2"/>
    </row>
    <row r="1488" spans="2:12" ht="13.2" x14ac:dyDescent="0.25">
      <c r="B1488" s="2"/>
      <c r="C1488" s="2"/>
      <c r="D1488" s="2"/>
      <c r="E1488" s="2"/>
      <c r="F1488" s="2"/>
      <c r="G1488" s="2"/>
      <c r="H1488" s="2"/>
      <c r="I1488" s="2"/>
      <c r="J1488" s="2"/>
      <c r="K1488" s="2"/>
      <c r="L1488" s="2"/>
    </row>
    <row r="1489" spans="2:12" ht="13.2" x14ac:dyDescent="0.25">
      <c r="B1489" s="2"/>
      <c r="C1489" s="2"/>
      <c r="D1489" s="2"/>
      <c r="E1489" s="2"/>
      <c r="F1489" s="2"/>
      <c r="G1489" s="2"/>
      <c r="H1489" s="2"/>
      <c r="I1489" s="2"/>
      <c r="J1489" s="2"/>
      <c r="K1489" s="2"/>
      <c r="L1489" s="2"/>
    </row>
    <row r="1490" spans="2:12" ht="13.2" x14ac:dyDescent="0.25">
      <c r="B1490" s="2"/>
      <c r="C1490" s="2"/>
      <c r="D1490" s="2"/>
      <c r="E1490" s="2"/>
      <c r="F1490" s="2"/>
      <c r="G1490" s="2"/>
      <c r="H1490" s="2"/>
      <c r="I1490" s="2"/>
      <c r="J1490" s="2"/>
      <c r="K1490" s="2"/>
      <c r="L1490" s="2"/>
    </row>
    <row r="1491" spans="2:12" ht="13.2" x14ac:dyDescent="0.25">
      <c r="B1491" s="2"/>
      <c r="C1491" s="2"/>
      <c r="D1491" s="2"/>
      <c r="E1491" s="2"/>
      <c r="F1491" s="2"/>
      <c r="G1491" s="2"/>
      <c r="H1491" s="2"/>
      <c r="I1491" s="2"/>
      <c r="J1491" s="2"/>
      <c r="K1491" s="2"/>
      <c r="L1491" s="2"/>
    </row>
    <row r="1492" spans="2:12" ht="13.2" x14ac:dyDescent="0.25">
      <c r="B1492" s="2"/>
      <c r="C1492" s="2"/>
      <c r="D1492" s="2"/>
      <c r="E1492" s="2"/>
      <c r="F1492" s="2"/>
      <c r="G1492" s="2"/>
      <c r="H1492" s="2"/>
      <c r="I1492" s="2"/>
      <c r="J1492" s="2"/>
      <c r="K1492" s="2"/>
      <c r="L1492" s="2"/>
    </row>
    <row r="1493" spans="2:12" ht="13.2" x14ac:dyDescent="0.25">
      <c r="B1493" s="2"/>
      <c r="C1493" s="2"/>
      <c r="D1493" s="2"/>
      <c r="E1493" s="2"/>
      <c r="F1493" s="2"/>
      <c r="G1493" s="2"/>
      <c r="H1493" s="2"/>
      <c r="I1493" s="2"/>
      <c r="J1493" s="2"/>
      <c r="K1493" s="2"/>
      <c r="L1493" s="2"/>
    </row>
    <row r="1494" spans="2:12" ht="13.2" x14ac:dyDescent="0.25">
      <c r="B1494" s="2"/>
      <c r="C1494" s="2"/>
      <c r="D1494" s="2"/>
      <c r="E1494" s="2"/>
      <c r="F1494" s="2"/>
      <c r="G1494" s="2"/>
      <c r="H1494" s="2"/>
      <c r="I1494" s="2"/>
      <c r="J1494" s="2"/>
      <c r="K1494" s="2"/>
      <c r="L1494" s="2"/>
    </row>
    <row r="1495" spans="2:12" ht="13.2" x14ac:dyDescent="0.25">
      <c r="B1495" s="2"/>
      <c r="C1495" s="2"/>
      <c r="D1495" s="2"/>
      <c r="E1495" s="2"/>
      <c r="F1495" s="2"/>
      <c r="G1495" s="2"/>
      <c r="H1495" s="2"/>
      <c r="I1495" s="2"/>
      <c r="J1495" s="2"/>
      <c r="K1495" s="2"/>
      <c r="L1495" s="2"/>
    </row>
    <row r="1496" spans="2:12" ht="13.2" x14ac:dyDescent="0.25">
      <c r="B1496" s="2"/>
      <c r="C1496" s="2"/>
      <c r="D1496" s="2"/>
      <c r="E1496" s="2"/>
      <c r="F1496" s="2"/>
      <c r="G1496" s="2"/>
      <c r="H1496" s="2"/>
      <c r="I1496" s="2"/>
      <c r="J1496" s="2"/>
      <c r="K1496" s="2"/>
      <c r="L1496" s="2"/>
    </row>
    <row r="1497" spans="2:12" ht="13.2" x14ac:dyDescent="0.25">
      <c r="B1497" s="2"/>
      <c r="C1497" s="2"/>
      <c r="D1497" s="2"/>
      <c r="E1497" s="2"/>
      <c r="F1497" s="2"/>
      <c r="G1497" s="2"/>
      <c r="H1497" s="2"/>
      <c r="I1497" s="2"/>
      <c r="J1497" s="2"/>
      <c r="K1497" s="2"/>
      <c r="L1497" s="2"/>
    </row>
    <row r="1498" spans="2:12" ht="13.2" x14ac:dyDescent="0.25">
      <c r="B1498" s="2"/>
      <c r="C1498" s="2"/>
      <c r="D1498" s="2"/>
      <c r="E1498" s="2"/>
      <c r="F1498" s="2"/>
      <c r="G1498" s="2"/>
      <c r="H1498" s="2"/>
      <c r="I1498" s="2"/>
      <c r="J1498" s="2"/>
      <c r="K1498" s="2"/>
      <c r="L1498" s="2"/>
    </row>
    <row r="1499" spans="2:12" ht="13.2" x14ac:dyDescent="0.25">
      <c r="B1499" s="2"/>
      <c r="C1499" s="2"/>
      <c r="D1499" s="2"/>
      <c r="E1499" s="2"/>
      <c r="F1499" s="2"/>
      <c r="G1499" s="2"/>
      <c r="H1499" s="2"/>
      <c r="I1499" s="2"/>
      <c r="J1499" s="2"/>
      <c r="K1499" s="2"/>
      <c r="L1499" s="2"/>
    </row>
    <row r="1500" spans="2:12" ht="13.2" x14ac:dyDescent="0.25">
      <c r="B1500" s="2"/>
      <c r="C1500" s="2"/>
      <c r="D1500" s="2"/>
      <c r="E1500" s="2"/>
      <c r="F1500" s="2"/>
      <c r="G1500" s="2"/>
      <c r="H1500" s="2"/>
      <c r="I1500" s="2"/>
      <c r="J1500" s="2"/>
      <c r="K1500" s="2"/>
      <c r="L1500" s="2"/>
    </row>
    <row r="1501" spans="2:12" ht="13.2" x14ac:dyDescent="0.25">
      <c r="B1501" s="2"/>
      <c r="C1501" s="2"/>
      <c r="D1501" s="2"/>
      <c r="E1501" s="2"/>
      <c r="F1501" s="2"/>
      <c r="G1501" s="2"/>
      <c r="H1501" s="2"/>
      <c r="I1501" s="2"/>
      <c r="J1501" s="2"/>
      <c r="K1501" s="2"/>
      <c r="L1501" s="2"/>
    </row>
    <row r="1502" spans="2:12" ht="13.2" x14ac:dyDescent="0.25">
      <c r="B1502" s="2"/>
      <c r="C1502" s="2"/>
      <c r="D1502" s="2"/>
      <c r="E1502" s="2"/>
      <c r="F1502" s="2"/>
      <c r="G1502" s="2"/>
      <c r="H1502" s="2"/>
      <c r="I1502" s="2"/>
      <c r="J1502" s="2"/>
      <c r="K1502" s="2"/>
      <c r="L1502" s="2"/>
    </row>
    <row r="1503" spans="2:12" ht="13.2" x14ac:dyDescent="0.25">
      <c r="B1503" s="2"/>
      <c r="C1503" s="2"/>
      <c r="D1503" s="2"/>
      <c r="E1503" s="2"/>
      <c r="F1503" s="2"/>
      <c r="G1503" s="2"/>
      <c r="H1503" s="2"/>
      <c r="I1503" s="2"/>
      <c r="J1503" s="2"/>
      <c r="K1503" s="2"/>
      <c r="L1503" s="2"/>
    </row>
    <row r="1504" spans="2:12" ht="13.2" x14ac:dyDescent="0.25">
      <c r="B1504" s="2"/>
      <c r="C1504" s="2"/>
      <c r="D1504" s="2"/>
      <c r="E1504" s="2"/>
      <c r="F1504" s="2"/>
      <c r="G1504" s="2"/>
      <c r="H1504" s="2"/>
      <c r="I1504" s="2"/>
      <c r="J1504" s="2"/>
      <c r="K1504" s="2"/>
      <c r="L1504" s="2"/>
    </row>
    <row r="1505" spans="2:12" ht="13.2" x14ac:dyDescent="0.25">
      <c r="B1505" s="2"/>
      <c r="C1505" s="2"/>
      <c r="D1505" s="2"/>
      <c r="E1505" s="2"/>
      <c r="F1505" s="2"/>
      <c r="G1505" s="2"/>
      <c r="H1505" s="2"/>
      <c r="I1505" s="2"/>
      <c r="J1505" s="2"/>
      <c r="K1505" s="2"/>
      <c r="L1505" s="2"/>
    </row>
    <row r="1506" spans="2:12" ht="13.2" x14ac:dyDescent="0.25">
      <c r="B1506" s="2"/>
      <c r="C1506" s="2"/>
      <c r="D1506" s="2"/>
      <c r="E1506" s="2"/>
      <c r="F1506" s="2"/>
      <c r="G1506" s="2"/>
      <c r="H1506" s="2"/>
      <c r="I1506" s="2"/>
      <c r="J1506" s="2"/>
      <c r="K1506" s="2"/>
      <c r="L1506" s="2"/>
    </row>
    <row r="1507" spans="2:12" ht="13.2" x14ac:dyDescent="0.25">
      <c r="B1507" s="2"/>
      <c r="C1507" s="2"/>
      <c r="D1507" s="2"/>
      <c r="E1507" s="2"/>
      <c r="F1507" s="2"/>
      <c r="G1507" s="2"/>
      <c r="H1507" s="2"/>
      <c r="I1507" s="2"/>
      <c r="J1507" s="2"/>
      <c r="K1507" s="2"/>
      <c r="L1507" s="2"/>
    </row>
    <row r="1508" spans="2:12" ht="13.2" x14ac:dyDescent="0.25">
      <c r="B1508" s="2"/>
      <c r="C1508" s="2"/>
      <c r="D1508" s="2"/>
      <c r="E1508" s="2"/>
      <c r="F1508" s="2"/>
      <c r="G1508" s="2"/>
      <c r="H1508" s="2"/>
      <c r="I1508" s="2"/>
      <c r="J1508" s="2"/>
      <c r="K1508" s="2"/>
      <c r="L1508" s="2"/>
    </row>
    <row r="1509" spans="2:12" ht="13.2" x14ac:dyDescent="0.25">
      <c r="B1509" s="2"/>
      <c r="C1509" s="2"/>
      <c r="D1509" s="2"/>
      <c r="E1509" s="2"/>
      <c r="F1509" s="2"/>
      <c r="G1509" s="2"/>
      <c r="H1509" s="2"/>
      <c r="I1509" s="2"/>
      <c r="J1509" s="2"/>
      <c r="K1509" s="2"/>
      <c r="L1509" s="2"/>
    </row>
    <row r="1510" spans="2:12" ht="13.2" x14ac:dyDescent="0.25">
      <c r="B1510" s="2"/>
      <c r="C1510" s="2"/>
      <c r="D1510" s="2"/>
      <c r="E1510" s="2"/>
      <c r="F1510" s="2"/>
      <c r="G1510" s="2"/>
      <c r="H1510" s="2"/>
      <c r="I1510" s="2"/>
      <c r="J1510" s="2"/>
      <c r="K1510" s="2"/>
      <c r="L1510" s="2"/>
    </row>
    <row r="1511" spans="2:12" ht="13.2" x14ac:dyDescent="0.25">
      <c r="B1511" s="2"/>
      <c r="C1511" s="2"/>
      <c r="D1511" s="2"/>
      <c r="E1511" s="2"/>
      <c r="F1511" s="2"/>
      <c r="G1511" s="2"/>
      <c r="H1511" s="2"/>
      <c r="I1511" s="2"/>
      <c r="J1511" s="2"/>
      <c r="K1511" s="2"/>
      <c r="L1511" s="2"/>
    </row>
    <row r="1512" spans="2:12" ht="13.2" x14ac:dyDescent="0.25">
      <c r="B1512" s="2"/>
      <c r="C1512" s="2"/>
      <c r="D1512" s="2"/>
      <c r="E1512" s="2"/>
      <c r="F1512" s="2"/>
      <c r="G1512" s="2"/>
      <c r="H1512" s="2"/>
      <c r="I1512" s="2"/>
      <c r="J1512" s="2"/>
      <c r="K1512" s="2"/>
      <c r="L1512" s="2"/>
    </row>
    <row r="1513" spans="2:12" ht="13.2" x14ac:dyDescent="0.25">
      <c r="B1513" s="2"/>
      <c r="C1513" s="2"/>
      <c r="D1513" s="2"/>
      <c r="E1513" s="2"/>
      <c r="F1513" s="2"/>
      <c r="G1513" s="2"/>
      <c r="H1513" s="2"/>
      <c r="I1513" s="2"/>
      <c r="J1513" s="2"/>
      <c r="K1513" s="2"/>
      <c r="L1513" s="2"/>
    </row>
    <row r="1514" spans="2:12" ht="13.2" x14ac:dyDescent="0.25">
      <c r="B1514" s="2"/>
      <c r="C1514" s="2"/>
      <c r="D1514" s="2"/>
      <c r="E1514" s="2"/>
      <c r="F1514" s="2"/>
      <c r="G1514" s="2"/>
      <c r="H1514" s="2"/>
      <c r="I1514" s="2"/>
      <c r="J1514" s="2"/>
      <c r="K1514" s="2"/>
      <c r="L1514" s="2"/>
    </row>
    <row r="1515" spans="2:12" ht="13.2" x14ac:dyDescent="0.25">
      <c r="B1515" s="2"/>
      <c r="C1515" s="2"/>
      <c r="D1515" s="2"/>
      <c r="E1515" s="2"/>
      <c r="F1515" s="2"/>
      <c r="G1515" s="2"/>
      <c r="H1515" s="2"/>
      <c r="I1515" s="2"/>
      <c r="J1515" s="2"/>
      <c r="K1515" s="2"/>
      <c r="L1515" s="2"/>
    </row>
    <row r="1516" spans="2:12" ht="13.2" x14ac:dyDescent="0.25">
      <c r="B1516" s="2"/>
      <c r="C1516" s="2"/>
      <c r="D1516" s="2"/>
      <c r="E1516" s="2"/>
      <c r="F1516" s="2"/>
      <c r="G1516" s="2"/>
      <c r="H1516" s="2"/>
      <c r="I1516" s="2"/>
      <c r="J1516" s="2"/>
      <c r="K1516" s="2"/>
      <c r="L1516" s="2"/>
    </row>
    <row r="1517" spans="2:12" ht="13.2" x14ac:dyDescent="0.25">
      <c r="B1517" s="2"/>
      <c r="C1517" s="2"/>
      <c r="D1517" s="2"/>
      <c r="E1517" s="2"/>
      <c r="F1517" s="2"/>
      <c r="G1517" s="2"/>
      <c r="H1517" s="2"/>
      <c r="I1517" s="2"/>
      <c r="J1517" s="2"/>
      <c r="K1517" s="2"/>
      <c r="L1517" s="2"/>
    </row>
    <row r="1518" spans="2:12" ht="13.2" x14ac:dyDescent="0.25">
      <c r="B1518" s="2"/>
      <c r="C1518" s="2"/>
      <c r="D1518" s="2"/>
      <c r="E1518" s="2"/>
      <c r="F1518" s="2"/>
      <c r="G1518" s="2"/>
      <c r="H1518" s="2"/>
      <c r="I1518" s="2"/>
      <c r="J1518" s="2"/>
      <c r="K1518" s="2"/>
      <c r="L1518" s="2"/>
    </row>
    <row r="1519" spans="2:12" ht="13.2" x14ac:dyDescent="0.25">
      <c r="B1519" s="2"/>
      <c r="C1519" s="2"/>
      <c r="D1519" s="2"/>
      <c r="E1519" s="2"/>
      <c r="F1519" s="2"/>
      <c r="G1519" s="2"/>
      <c r="H1519" s="2"/>
      <c r="I1519" s="2"/>
      <c r="J1519" s="2"/>
      <c r="K1519" s="2"/>
      <c r="L1519" s="2"/>
    </row>
    <row r="1520" spans="2:12" ht="13.2" x14ac:dyDescent="0.25">
      <c r="B1520" s="2"/>
      <c r="C1520" s="2"/>
      <c r="D1520" s="2"/>
      <c r="E1520" s="2"/>
      <c r="F1520" s="2"/>
      <c r="G1520" s="2"/>
      <c r="H1520" s="2"/>
      <c r="I1520" s="2"/>
      <c r="J1520" s="2"/>
      <c r="K1520" s="2"/>
      <c r="L1520" s="2"/>
    </row>
    <row r="1521" spans="2:12" ht="13.2" x14ac:dyDescent="0.25">
      <c r="B1521" s="2"/>
      <c r="C1521" s="2"/>
      <c r="D1521" s="2"/>
      <c r="E1521" s="2"/>
      <c r="F1521" s="2"/>
      <c r="G1521" s="2"/>
      <c r="H1521" s="2"/>
      <c r="I1521" s="2"/>
      <c r="J1521" s="2"/>
      <c r="K1521" s="2"/>
      <c r="L1521" s="2"/>
    </row>
    <row r="1522" spans="2:12" ht="13.2" x14ac:dyDescent="0.25">
      <c r="B1522" s="2"/>
      <c r="C1522" s="2"/>
      <c r="D1522" s="2"/>
      <c r="E1522" s="2"/>
      <c r="F1522" s="2"/>
      <c r="G1522" s="2"/>
      <c r="H1522" s="2"/>
      <c r="I1522" s="2"/>
      <c r="J1522" s="2"/>
      <c r="K1522" s="2"/>
      <c r="L1522" s="2"/>
    </row>
    <row r="1523" spans="2:12" ht="13.2" x14ac:dyDescent="0.25">
      <c r="B1523" s="2"/>
      <c r="C1523" s="2"/>
      <c r="D1523" s="2"/>
      <c r="E1523" s="2"/>
      <c r="F1523" s="2"/>
      <c r="G1523" s="2"/>
      <c r="H1523" s="2"/>
      <c r="I1523" s="2"/>
      <c r="J1523" s="2"/>
      <c r="K1523" s="2"/>
      <c r="L1523" s="2"/>
    </row>
    <row r="1524" spans="2:12" ht="13.2" x14ac:dyDescent="0.25">
      <c r="B1524" s="2"/>
      <c r="C1524" s="2"/>
      <c r="D1524" s="2"/>
      <c r="E1524" s="2"/>
      <c r="F1524" s="2"/>
      <c r="G1524" s="2"/>
      <c r="H1524" s="2"/>
      <c r="I1524" s="2"/>
      <c r="J1524" s="2"/>
      <c r="K1524" s="2"/>
      <c r="L1524" s="2"/>
    </row>
    <row r="1525" spans="2:12" ht="13.2" x14ac:dyDescent="0.25">
      <c r="B1525" s="2"/>
      <c r="C1525" s="2"/>
      <c r="D1525" s="2"/>
      <c r="E1525" s="2"/>
      <c r="F1525" s="2"/>
      <c r="G1525" s="2"/>
      <c r="H1525" s="2"/>
      <c r="I1525" s="2"/>
      <c r="J1525" s="2"/>
      <c r="K1525" s="2"/>
      <c r="L1525" s="2"/>
    </row>
    <row r="1526" spans="2:12" ht="13.2" x14ac:dyDescent="0.25">
      <c r="B1526" s="2"/>
      <c r="C1526" s="2"/>
      <c r="D1526" s="2"/>
      <c r="E1526" s="2"/>
      <c r="F1526" s="2"/>
      <c r="G1526" s="2"/>
      <c r="H1526" s="2"/>
      <c r="I1526" s="2"/>
      <c r="J1526" s="2"/>
      <c r="K1526" s="2"/>
      <c r="L1526" s="2"/>
    </row>
    <row r="1527" spans="2:12" ht="13.2" x14ac:dyDescent="0.25">
      <c r="B1527" s="2"/>
      <c r="C1527" s="2"/>
      <c r="D1527" s="2"/>
      <c r="E1527" s="2"/>
      <c r="F1527" s="2"/>
      <c r="G1527" s="2"/>
      <c r="H1527" s="2"/>
      <c r="I1527" s="2"/>
      <c r="J1527" s="2"/>
      <c r="K1527" s="2"/>
      <c r="L1527" s="2"/>
    </row>
    <row r="1528" spans="2:12" ht="13.2" x14ac:dyDescent="0.25">
      <c r="B1528" s="2"/>
      <c r="C1528" s="2"/>
      <c r="D1528" s="2"/>
      <c r="E1528" s="2"/>
      <c r="F1528" s="2"/>
      <c r="G1528" s="2"/>
      <c r="H1528" s="2"/>
      <c r="I1528" s="2"/>
      <c r="J1528" s="2"/>
      <c r="K1528" s="2"/>
      <c r="L1528" s="2"/>
    </row>
    <row r="1529" spans="2:12" ht="13.2" x14ac:dyDescent="0.25">
      <c r="B1529" s="2"/>
      <c r="C1529" s="2"/>
      <c r="D1529" s="2"/>
      <c r="E1529" s="2"/>
      <c r="F1529" s="2"/>
      <c r="G1529" s="2"/>
      <c r="H1529" s="2"/>
      <c r="I1529" s="2"/>
      <c r="J1529" s="2"/>
      <c r="K1529" s="2"/>
      <c r="L1529" s="2"/>
    </row>
    <row r="1530" spans="2:12" ht="13.2" x14ac:dyDescent="0.25">
      <c r="B1530" s="2"/>
      <c r="C1530" s="2"/>
      <c r="D1530" s="2"/>
      <c r="E1530" s="2"/>
      <c r="F1530" s="2"/>
      <c r="G1530" s="2"/>
      <c r="H1530" s="2"/>
      <c r="I1530" s="2"/>
      <c r="J1530" s="2"/>
      <c r="K1530" s="2"/>
      <c r="L1530" s="2"/>
    </row>
    <row r="1531" spans="2:12" ht="13.2" x14ac:dyDescent="0.25">
      <c r="B1531" s="2"/>
      <c r="C1531" s="2"/>
      <c r="D1531" s="2"/>
      <c r="E1531" s="2"/>
      <c r="F1531" s="2"/>
      <c r="G1531" s="2"/>
      <c r="H1531" s="2"/>
      <c r="I1531" s="2"/>
      <c r="J1531" s="2"/>
      <c r="K1531" s="2"/>
      <c r="L1531" s="2"/>
    </row>
    <row r="1532" spans="2:12" ht="13.2" x14ac:dyDescent="0.25">
      <c r="B1532" s="2"/>
      <c r="C1532" s="2"/>
      <c r="D1532" s="2"/>
      <c r="E1532" s="2"/>
      <c r="F1532" s="2"/>
      <c r="G1532" s="2"/>
      <c r="H1532" s="2"/>
      <c r="I1532" s="2"/>
      <c r="J1532" s="2"/>
      <c r="K1532" s="2"/>
      <c r="L1532" s="2"/>
    </row>
    <row r="1533" spans="2:12" ht="13.2" x14ac:dyDescent="0.25">
      <c r="B1533" s="2"/>
      <c r="C1533" s="2"/>
      <c r="D1533" s="2"/>
      <c r="E1533" s="2"/>
      <c r="F1533" s="2"/>
      <c r="G1533" s="2"/>
      <c r="H1533" s="2"/>
      <c r="I1533" s="2"/>
      <c r="J1533" s="2"/>
      <c r="K1533" s="2"/>
      <c r="L1533" s="2"/>
    </row>
    <row r="1534" spans="2:12" ht="13.2" x14ac:dyDescent="0.25">
      <c r="B1534" s="2"/>
      <c r="C1534" s="2"/>
      <c r="D1534" s="2"/>
      <c r="E1534" s="2"/>
      <c r="F1534" s="2"/>
      <c r="G1534" s="2"/>
      <c r="H1534" s="2"/>
      <c r="I1534" s="2"/>
      <c r="J1534" s="2"/>
      <c r="K1534" s="2"/>
      <c r="L1534" s="2"/>
    </row>
    <row r="1535" spans="2:12" ht="13.2" x14ac:dyDescent="0.25">
      <c r="B1535" s="2"/>
      <c r="C1535" s="2"/>
      <c r="D1535" s="2"/>
      <c r="E1535" s="2"/>
      <c r="F1535" s="2"/>
      <c r="G1535" s="2"/>
      <c r="H1535" s="2"/>
      <c r="I1535" s="2"/>
      <c r="J1535" s="2"/>
      <c r="K1535" s="2"/>
      <c r="L1535" s="2"/>
    </row>
    <row r="1536" spans="2:12" ht="13.2" x14ac:dyDescent="0.25">
      <c r="B1536" s="2"/>
      <c r="C1536" s="2"/>
      <c r="D1536" s="2"/>
      <c r="E1536" s="2"/>
      <c r="F1536" s="2"/>
      <c r="G1536" s="2"/>
      <c r="H1536" s="2"/>
      <c r="I1536" s="2"/>
      <c r="J1536" s="2"/>
      <c r="K1536" s="2"/>
      <c r="L1536" s="2"/>
    </row>
    <row r="1537" spans="2:12" ht="13.2" x14ac:dyDescent="0.25">
      <c r="B1537" s="2"/>
      <c r="C1537" s="2"/>
      <c r="D1537" s="2"/>
      <c r="E1537" s="2"/>
      <c r="F1537" s="2"/>
      <c r="G1537" s="2"/>
      <c r="H1537" s="2"/>
      <c r="I1537" s="2"/>
      <c r="J1537" s="2"/>
      <c r="K1537" s="2"/>
      <c r="L1537" s="2"/>
    </row>
    <row r="1538" spans="2:12" ht="13.2" x14ac:dyDescent="0.25">
      <c r="B1538" s="2"/>
      <c r="C1538" s="2"/>
      <c r="D1538" s="2"/>
      <c r="E1538" s="2"/>
      <c r="F1538" s="2"/>
      <c r="G1538" s="2"/>
      <c r="H1538" s="2"/>
      <c r="I1538" s="2"/>
      <c r="J1538" s="2"/>
      <c r="K1538" s="2"/>
      <c r="L1538" s="2"/>
    </row>
    <row r="1539" spans="2:12" ht="13.2" x14ac:dyDescent="0.25">
      <c r="B1539" s="2"/>
      <c r="C1539" s="2"/>
      <c r="D1539" s="2"/>
      <c r="E1539" s="2"/>
      <c r="F1539" s="2"/>
      <c r="G1539" s="2"/>
      <c r="H1539" s="2"/>
      <c r="I1539" s="2"/>
      <c r="J1539" s="2"/>
      <c r="K1539" s="2"/>
      <c r="L1539" s="2"/>
    </row>
    <row r="1540" spans="2:12" ht="13.2" x14ac:dyDescent="0.25">
      <c r="B1540" s="2"/>
      <c r="C1540" s="2"/>
      <c r="D1540" s="2"/>
      <c r="E1540" s="2"/>
      <c r="F1540" s="2"/>
      <c r="G1540" s="2"/>
      <c r="H1540" s="2"/>
      <c r="I1540" s="2"/>
      <c r="J1540" s="2"/>
      <c r="K1540" s="2"/>
      <c r="L1540" s="2"/>
    </row>
    <row r="1541" spans="2:12" ht="13.2" x14ac:dyDescent="0.25">
      <c r="B1541" s="2"/>
      <c r="C1541" s="2"/>
      <c r="D1541" s="2"/>
      <c r="E1541" s="2"/>
      <c r="F1541" s="2"/>
      <c r="G1541" s="2"/>
      <c r="H1541" s="2"/>
      <c r="I1541" s="2"/>
      <c r="J1541" s="2"/>
      <c r="K1541" s="2"/>
      <c r="L1541" s="2"/>
    </row>
    <row r="1542" spans="2:12" ht="13.2" x14ac:dyDescent="0.25">
      <c r="B1542" s="2"/>
      <c r="C1542" s="2"/>
      <c r="D1542" s="2"/>
      <c r="E1542" s="2"/>
      <c r="F1542" s="2"/>
      <c r="G1542" s="2"/>
      <c r="H1542" s="2"/>
      <c r="I1542" s="2"/>
      <c r="J1542" s="2"/>
      <c r="K1542" s="2"/>
      <c r="L1542" s="2"/>
    </row>
    <row r="1543" spans="2:12" ht="13.2" x14ac:dyDescent="0.25">
      <c r="B1543" s="2"/>
      <c r="C1543" s="2"/>
      <c r="D1543" s="2"/>
      <c r="E1543" s="2"/>
      <c r="F1543" s="2"/>
      <c r="G1543" s="2"/>
      <c r="H1543" s="2"/>
      <c r="I1543" s="2"/>
      <c r="J1543" s="2"/>
      <c r="K1543" s="2"/>
      <c r="L1543" s="2"/>
    </row>
    <row r="1544" spans="2:12" ht="13.2" x14ac:dyDescent="0.25">
      <c r="B1544" s="2"/>
      <c r="C1544" s="2"/>
      <c r="D1544" s="2"/>
      <c r="E1544" s="2"/>
      <c r="F1544" s="2"/>
      <c r="G1544" s="2"/>
      <c r="H1544" s="2"/>
      <c r="I1544" s="2"/>
      <c r="J1544" s="2"/>
      <c r="K1544" s="2"/>
      <c r="L1544" s="2"/>
    </row>
    <row r="1545" spans="2:12" ht="13.2" x14ac:dyDescent="0.25">
      <c r="B1545" s="2"/>
      <c r="C1545" s="2"/>
      <c r="D1545" s="2"/>
      <c r="E1545" s="2"/>
      <c r="F1545" s="2"/>
      <c r="G1545" s="2"/>
      <c r="H1545" s="2"/>
      <c r="I1545" s="2"/>
      <c r="J1545" s="2"/>
      <c r="K1545" s="2"/>
      <c r="L1545" s="2"/>
    </row>
    <row r="1546" spans="2:12" ht="13.2" x14ac:dyDescent="0.25">
      <c r="B1546" s="2"/>
      <c r="C1546" s="2"/>
      <c r="D1546" s="2"/>
      <c r="E1546" s="2"/>
      <c r="F1546" s="2"/>
      <c r="G1546" s="2"/>
      <c r="H1546" s="2"/>
      <c r="I1546" s="2"/>
      <c r="J1546" s="2"/>
      <c r="K1546" s="2"/>
      <c r="L1546" s="2"/>
    </row>
    <row r="1547" spans="2:12" ht="13.2" x14ac:dyDescent="0.25">
      <c r="B1547" s="2"/>
      <c r="C1547" s="2"/>
      <c r="D1547" s="2"/>
      <c r="E1547" s="2"/>
      <c r="F1547" s="2"/>
      <c r="G1547" s="2"/>
      <c r="H1547" s="2"/>
      <c r="I1547" s="2"/>
      <c r="J1547" s="2"/>
      <c r="K1547" s="2"/>
      <c r="L1547" s="2"/>
    </row>
    <row r="1548" spans="2:12" ht="13.2" x14ac:dyDescent="0.25">
      <c r="B1548" s="2"/>
      <c r="C1548" s="2"/>
      <c r="D1548" s="2"/>
      <c r="E1548" s="2"/>
      <c r="F1548" s="2"/>
      <c r="G1548" s="2"/>
      <c r="H1548" s="2"/>
      <c r="I1548" s="2"/>
      <c r="J1548" s="2"/>
      <c r="K1548" s="2"/>
      <c r="L1548" s="2"/>
    </row>
    <row r="1549" spans="2:12" ht="13.2" x14ac:dyDescent="0.25">
      <c r="B1549" s="2"/>
      <c r="C1549" s="2"/>
      <c r="D1549" s="2"/>
      <c r="E1549" s="2"/>
      <c r="F1549" s="2"/>
      <c r="G1549" s="2"/>
      <c r="H1549" s="2"/>
      <c r="I1549" s="2"/>
      <c r="J1549" s="2"/>
      <c r="K1549" s="2"/>
      <c r="L1549" s="2"/>
    </row>
    <row r="1550" spans="2:12" ht="13.2" x14ac:dyDescent="0.25">
      <c r="B1550" s="2"/>
      <c r="C1550" s="2"/>
      <c r="D1550" s="2"/>
      <c r="E1550" s="2"/>
      <c r="F1550" s="2"/>
      <c r="G1550" s="2"/>
      <c r="H1550" s="2"/>
      <c r="I1550" s="2"/>
      <c r="J1550" s="2"/>
      <c r="K1550" s="2"/>
      <c r="L1550" s="2"/>
    </row>
    <row r="1551" spans="2:12" ht="13.2" x14ac:dyDescent="0.25">
      <c r="B1551" s="2"/>
      <c r="C1551" s="2"/>
      <c r="D1551" s="2"/>
      <c r="E1551" s="2"/>
      <c r="F1551" s="2"/>
      <c r="G1551" s="2"/>
      <c r="H1551" s="2"/>
      <c r="I1551" s="2"/>
      <c r="J1551" s="2"/>
      <c r="K1551" s="2"/>
      <c r="L1551" s="2"/>
    </row>
    <row r="1552" spans="2:12" ht="13.2" x14ac:dyDescent="0.25">
      <c r="B1552" s="2"/>
      <c r="C1552" s="2"/>
      <c r="D1552" s="2"/>
      <c r="E1552" s="2"/>
      <c r="F1552" s="2"/>
      <c r="G1552" s="2"/>
      <c r="H1552" s="2"/>
      <c r="I1552" s="2"/>
      <c r="J1552" s="2"/>
      <c r="K1552" s="2"/>
      <c r="L1552" s="2"/>
    </row>
    <row r="1553" spans="2:12" ht="13.2" x14ac:dyDescent="0.25">
      <c r="B1553" s="2"/>
      <c r="C1553" s="2"/>
      <c r="D1553" s="2"/>
      <c r="E1553" s="2"/>
      <c r="F1553" s="2"/>
      <c r="G1553" s="2"/>
      <c r="H1553" s="2"/>
      <c r="I1553" s="2"/>
      <c r="J1553" s="2"/>
      <c r="K1553" s="2"/>
      <c r="L1553" s="2"/>
    </row>
    <row r="1554" spans="2:12" ht="13.2" x14ac:dyDescent="0.25">
      <c r="B1554" s="2"/>
      <c r="C1554" s="2"/>
      <c r="D1554" s="2"/>
      <c r="E1554" s="2"/>
      <c r="F1554" s="2"/>
      <c r="G1554" s="2"/>
      <c r="H1554" s="2"/>
      <c r="I1554" s="2"/>
      <c r="J1554" s="2"/>
      <c r="K1554" s="2"/>
      <c r="L1554" s="2"/>
    </row>
    <row r="1555" spans="2:12" ht="13.2" x14ac:dyDescent="0.25">
      <c r="B1555" s="2"/>
      <c r="C1555" s="2"/>
      <c r="D1555" s="2"/>
      <c r="E1555" s="2"/>
      <c r="F1555" s="2"/>
      <c r="G1555" s="2"/>
      <c r="H1555" s="2"/>
      <c r="I1555" s="2"/>
      <c r="J1555" s="2"/>
      <c r="K1555" s="2"/>
      <c r="L1555" s="2"/>
    </row>
    <row r="1556" spans="2:12" ht="13.2" x14ac:dyDescent="0.25">
      <c r="B1556" s="2"/>
      <c r="C1556" s="2"/>
      <c r="D1556" s="2"/>
      <c r="E1556" s="2"/>
      <c r="F1556" s="2"/>
      <c r="G1556" s="2"/>
      <c r="H1556" s="2"/>
      <c r="I1556" s="2"/>
      <c r="J1556" s="2"/>
      <c r="K1556" s="2"/>
      <c r="L1556" s="2"/>
    </row>
    <row r="1557" spans="2:12" ht="13.2" x14ac:dyDescent="0.25">
      <c r="B1557" s="2"/>
      <c r="C1557" s="2"/>
      <c r="D1557" s="2"/>
      <c r="E1557" s="2"/>
      <c r="F1557" s="2"/>
      <c r="G1557" s="2"/>
      <c r="H1557" s="2"/>
      <c r="I1557" s="2"/>
      <c r="J1557" s="2"/>
      <c r="K1557" s="2"/>
      <c r="L1557" s="2"/>
    </row>
    <row r="1558" spans="2:12" ht="13.2" x14ac:dyDescent="0.25">
      <c r="B1558" s="2"/>
      <c r="C1558" s="2"/>
      <c r="D1558" s="2"/>
      <c r="E1558" s="2"/>
      <c r="F1558" s="2"/>
      <c r="G1558" s="2"/>
      <c r="H1558" s="2"/>
      <c r="I1558" s="2"/>
      <c r="J1558" s="2"/>
      <c r="K1558" s="2"/>
      <c r="L1558" s="2"/>
    </row>
    <row r="1559" spans="2:12" ht="13.2" x14ac:dyDescent="0.25">
      <c r="B1559" s="2"/>
      <c r="C1559" s="2"/>
      <c r="D1559" s="2"/>
      <c r="E1559" s="2"/>
      <c r="F1559" s="2"/>
      <c r="G1559" s="2"/>
      <c r="H1559" s="2"/>
      <c r="I1559" s="2"/>
      <c r="J1559" s="2"/>
      <c r="K1559" s="2"/>
      <c r="L1559" s="2"/>
    </row>
    <row r="1560" spans="2:12" ht="13.2" x14ac:dyDescent="0.25">
      <c r="B1560" s="2"/>
      <c r="C1560" s="2"/>
      <c r="D1560" s="2"/>
      <c r="E1560" s="2"/>
      <c r="F1560" s="2"/>
      <c r="G1560" s="2"/>
      <c r="H1560" s="2"/>
      <c r="I1560" s="2"/>
      <c r="J1560" s="2"/>
      <c r="K1560" s="2"/>
      <c r="L1560" s="2"/>
    </row>
    <row r="1561" spans="2:12" ht="13.2" x14ac:dyDescent="0.25">
      <c r="B1561" s="2"/>
      <c r="C1561" s="2"/>
      <c r="D1561" s="2"/>
      <c r="E1561" s="2"/>
      <c r="F1561" s="2"/>
      <c r="G1561" s="2"/>
      <c r="H1561" s="2"/>
      <c r="I1561" s="2"/>
      <c r="J1561" s="2"/>
      <c r="K1561" s="2"/>
      <c r="L1561" s="2"/>
    </row>
    <row r="1562" spans="2:12" ht="13.2" x14ac:dyDescent="0.25">
      <c r="B1562" s="2"/>
      <c r="C1562" s="2"/>
      <c r="D1562" s="2"/>
      <c r="E1562" s="2"/>
      <c r="F1562" s="2"/>
      <c r="G1562" s="2"/>
      <c r="H1562" s="2"/>
      <c r="I1562" s="2"/>
      <c r="J1562" s="2"/>
      <c r="K1562" s="2"/>
      <c r="L1562" s="2"/>
    </row>
    <row r="1563" spans="2:12" ht="13.2" x14ac:dyDescent="0.25">
      <c r="B1563" s="2"/>
      <c r="C1563" s="2"/>
      <c r="D1563" s="2"/>
      <c r="E1563" s="2"/>
      <c r="F1563" s="2"/>
      <c r="G1563" s="2"/>
      <c r="H1563" s="2"/>
      <c r="I1563" s="2"/>
      <c r="J1563" s="2"/>
      <c r="K1563" s="2"/>
      <c r="L1563" s="2"/>
    </row>
    <row r="1564" spans="2:12" ht="13.2" x14ac:dyDescent="0.25">
      <c r="B1564" s="2"/>
      <c r="C1564" s="2"/>
      <c r="D1564" s="2"/>
      <c r="E1564" s="2"/>
      <c r="F1564" s="2"/>
      <c r="G1564" s="2"/>
      <c r="H1564" s="2"/>
      <c r="I1564" s="2"/>
      <c r="J1564" s="2"/>
      <c r="K1564" s="2"/>
      <c r="L1564" s="2"/>
    </row>
    <row r="1565" spans="2:12" ht="13.2" x14ac:dyDescent="0.25">
      <c r="B1565" s="2"/>
      <c r="C1565" s="2"/>
      <c r="D1565" s="2"/>
      <c r="E1565" s="2"/>
      <c r="F1565" s="2"/>
      <c r="G1565" s="2"/>
      <c r="H1565" s="2"/>
      <c r="I1565" s="2"/>
      <c r="J1565" s="2"/>
      <c r="K1565" s="2"/>
      <c r="L1565" s="2"/>
    </row>
    <row r="1566" spans="2:12" ht="13.2" x14ac:dyDescent="0.25">
      <c r="B1566" s="2"/>
      <c r="C1566" s="2"/>
      <c r="D1566" s="2"/>
      <c r="E1566" s="2"/>
      <c r="F1566" s="2"/>
      <c r="G1566" s="2"/>
      <c r="H1566" s="2"/>
      <c r="I1566" s="2"/>
      <c r="J1566" s="2"/>
      <c r="K1566" s="2"/>
      <c r="L1566" s="2"/>
    </row>
    <row r="1567" spans="2:12" ht="13.2" x14ac:dyDescent="0.25">
      <c r="B1567" s="2"/>
      <c r="C1567" s="2"/>
      <c r="D1567" s="2"/>
      <c r="E1567" s="2"/>
      <c r="F1567" s="2"/>
      <c r="G1567" s="2"/>
      <c r="H1567" s="2"/>
      <c r="I1567" s="2"/>
      <c r="J1567" s="2"/>
      <c r="K1567" s="2"/>
      <c r="L1567" s="2"/>
    </row>
    <row r="1568" spans="2:12" ht="13.2" x14ac:dyDescent="0.25">
      <c r="B1568" s="2"/>
      <c r="C1568" s="2"/>
      <c r="D1568" s="2"/>
      <c r="E1568" s="2"/>
      <c r="F1568" s="2"/>
      <c r="G1568" s="2"/>
      <c r="H1568" s="2"/>
      <c r="I1568" s="2"/>
      <c r="J1568" s="2"/>
      <c r="K1568" s="2"/>
      <c r="L1568" s="2"/>
    </row>
    <row r="1569" spans="2:12" ht="13.2" x14ac:dyDescent="0.25">
      <c r="B1569" s="2"/>
      <c r="C1569" s="2"/>
      <c r="D1569" s="2"/>
      <c r="E1569" s="2"/>
      <c r="F1569" s="2"/>
      <c r="G1569" s="2"/>
      <c r="H1569" s="2"/>
      <c r="I1569" s="2"/>
      <c r="J1569" s="2"/>
      <c r="K1569" s="2"/>
      <c r="L1569" s="2"/>
    </row>
    <row r="1570" spans="2:12" ht="13.2" x14ac:dyDescent="0.25">
      <c r="B1570" s="2"/>
      <c r="C1570" s="2"/>
      <c r="D1570" s="2"/>
      <c r="E1570" s="2"/>
      <c r="F1570" s="2"/>
      <c r="G1570" s="2"/>
      <c r="H1570" s="2"/>
      <c r="I1570" s="2"/>
      <c r="J1570" s="2"/>
      <c r="K1570" s="2"/>
      <c r="L1570" s="2"/>
    </row>
    <row r="1571" spans="2:12" ht="13.2" x14ac:dyDescent="0.25">
      <c r="B1571" s="2"/>
      <c r="C1571" s="2"/>
      <c r="D1571" s="2"/>
      <c r="E1571" s="2"/>
      <c r="F1571" s="2"/>
      <c r="G1571" s="2"/>
      <c r="H1571" s="2"/>
      <c r="I1571" s="2"/>
      <c r="J1571" s="2"/>
      <c r="K1571" s="2"/>
      <c r="L1571" s="2"/>
    </row>
    <row r="1572" spans="2:12" ht="13.2" x14ac:dyDescent="0.25">
      <c r="B1572" s="2"/>
      <c r="C1572" s="2"/>
      <c r="D1572" s="2"/>
      <c r="E1572" s="2"/>
      <c r="F1572" s="2"/>
      <c r="G1572" s="2"/>
      <c r="H1572" s="2"/>
      <c r="I1572" s="2"/>
      <c r="J1572" s="2"/>
      <c r="K1572" s="2"/>
      <c r="L1572" s="2"/>
    </row>
    <row r="1573" spans="2:12" ht="13.2" x14ac:dyDescent="0.25">
      <c r="B1573" s="2"/>
      <c r="C1573" s="2"/>
      <c r="D1573" s="2"/>
      <c r="E1573" s="2"/>
      <c r="F1573" s="2"/>
      <c r="G1573" s="2"/>
      <c r="H1573" s="2"/>
      <c r="I1573" s="2"/>
      <c r="J1573" s="2"/>
      <c r="K1573" s="2"/>
      <c r="L1573" s="2"/>
    </row>
    <row r="1574" spans="2:12" ht="13.2" x14ac:dyDescent="0.25">
      <c r="B1574" s="2"/>
      <c r="C1574" s="2"/>
      <c r="D1574" s="2"/>
      <c r="E1574" s="2"/>
      <c r="F1574" s="2"/>
      <c r="G1574" s="2"/>
      <c r="H1574" s="2"/>
      <c r="I1574" s="2"/>
      <c r="J1574" s="2"/>
      <c r="K1574" s="2"/>
      <c r="L1574" s="2"/>
    </row>
    <row r="1575" spans="2:12" ht="13.2" x14ac:dyDescent="0.25">
      <c r="B1575" s="2"/>
      <c r="C1575" s="2"/>
      <c r="D1575" s="2"/>
      <c r="E1575" s="2"/>
      <c r="F1575" s="2"/>
      <c r="G1575" s="2"/>
      <c r="H1575" s="2"/>
      <c r="I1575" s="2"/>
      <c r="J1575" s="2"/>
      <c r="K1575" s="2"/>
      <c r="L1575" s="2"/>
    </row>
    <row r="1576" spans="2:12" ht="13.2" x14ac:dyDescent="0.25">
      <c r="B1576" s="2"/>
      <c r="C1576" s="2"/>
      <c r="D1576" s="2"/>
      <c r="E1576" s="2"/>
      <c r="F1576" s="2"/>
      <c r="G1576" s="2"/>
      <c r="H1576" s="2"/>
      <c r="I1576" s="2"/>
      <c r="J1576" s="2"/>
      <c r="K1576" s="2"/>
      <c r="L1576" s="2"/>
    </row>
    <row r="1577" spans="2:12" ht="13.2" x14ac:dyDescent="0.25">
      <c r="B1577" s="2"/>
      <c r="C1577" s="2"/>
      <c r="D1577" s="2"/>
      <c r="E1577" s="2"/>
      <c r="F1577" s="2"/>
      <c r="G1577" s="2"/>
      <c r="H1577" s="2"/>
      <c r="I1577" s="2"/>
      <c r="J1577" s="2"/>
      <c r="K1577" s="2"/>
      <c r="L1577" s="2"/>
    </row>
    <row r="1578" spans="2:12" ht="13.2" x14ac:dyDescent="0.25">
      <c r="B1578" s="2"/>
      <c r="C1578" s="2"/>
      <c r="D1578" s="2"/>
      <c r="E1578" s="2"/>
      <c r="F1578" s="2"/>
      <c r="G1578" s="2"/>
      <c r="H1578" s="2"/>
      <c r="I1578" s="2"/>
      <c r="J1578" s="2"/>
      <c r="K1578" s="2"/>
      <c r="L1578" s="2"/>
    </row>
    <row r="1579" spans="2:12" ht="13.2" x14ac:dyDescent="0.25">
      <c r="B1579" s="2"/>
      <c r="C1579" s="2"/>
      <c r="D1579" s="2"/>
      <c r="E1579" s="2"/>
      <c r="F1579" s="2"/>
      <c r="G1579" s="2"/>
      <c r="H1579" s="2"/>
      <c r="I1579" s="2"/>
      <c r="J1579" s="2"/>
      <c r="K1579" s="2"/>
      <c r="L1579" s="2"/>
    </row>
    <row r="1580" spans="2:12" ht="13.2" x14ac:dyDescent="0.25">
      <c r="B1580" s="2"/>
      <c r="C1580" s="2"/>
      <c r="D1580" s="2"/>
      <c r="E1580" s="2"/>
      <c r="F1580" s="2"/>
      <c r="G1580" s="2"/>
      <c r="H1580" s="2"/>
      <c r="I1580" s="2"/>
      <c r="J1580" s="2"/>
      <c r="K1580" s="2"/>
      <c r="L1580" s="2"/>
    </row>
    <row r="1581" spans="2:12" ht="13.2" x14ac:dyDescent="0.25">
      <c r="B1581" s="2"/>
      <c r="C1581" s="2"/>
      <c r="D1581" s="2"/>
      <c r="E1581" s="2"/>
      <c r="F1581" s="2"/>
      <c r="G1581" s="2"/>
      <c r="H1581" s="2"/>
      <c r="I1581" s="2"/>
      <c r="J1581" s="2"/>
      <c r="K1581" s="2"/>
      <c r="L1581" s="2"/>
    </row>
    <row r="1582" spans="2:12" ht="13.2" x14ac:dyDescent="0.25">
      <c r="B1582" s="2"/>
      <c r="C1582" s="2"/>
      <c r="D1582" s="2"/>
      <c r="E1582" s="2"/>
      <c r="F1582" s="2"/>
      <c r="G1582" s="2"/>
      <c r="H1582" s="2"/>
      <c r="I1582" s="2"/>
      <c r="J1582" s="2"/>
      <c r="K1582" s="2"/>
      <c r="L1582" s="2"/>
    </row>
    <row r="1583" spans="2:12" ht="13.2" x14ac:dyDescent="0.25">
      <c r="B1583" s="2"/>
      <c r="C1583" s="2"/>
      <c r="D1583" s="2"/>
      <c r="E1583" s="2"/>
      <c r="F1583" s="2"/>
      <c r="G1583" s="2"/>
      <c r="H1583" s="2"/>
      <c r="I1583" s="2"/>
      <c r="J1583" s="2"/>
      <c r="K1583" s="2"/>
      <c r="L1583" s="2"/>
    </row>
    <row r="1584" spans="2:12" ht="13.2" x14ac:dyDescent="0.25">
      <c r="B1584" s="2"/>
      <c r="C1584" s="2"/>
      <c r="D1584" s="2"/>
      <c r="E1584" s="2"/>
      <c r="F1584" s="2"/>
      <c r="G1584" s="2"/>
      <c r="H1584" s="2"/>
      <c r="I1584" s="2"/>
      <c r="J1584" s="2"/>
      <c r="K1584" s="2"/>
      <c r="L1584" s="2"/>
    </row>
    <row r="1585" spans="2:12" ht="13.2" x14ac:dyDescent="0.25">
      <c r="B1585" s="2"/>
      <c r="C1585" s="2"/>
      <c r="D1585" s="2"/>
      <c r="E1585" s="2"/>
      <c r="F1585" s="2"/>
      <c r="G1585" s="2"/>
      <c r="H1585" s="2"/>
      <c r="I1585" s="2"/>
      <c r="J1585" s="2"/>
      <c r="K1585" s="2"/>
      <c r="L1585" s="2"/>
    </row>
    <row r="1586" spans="2:12" ht="13.2" x14ac:dyDescent="0.25">
      <c r="B1586" s="2"/>
      <c r="C1586" s="2"/>
      <c r="D1586" s="2"/>
      <c r="E1586" s="2"/>
      <c r="F1586" s="2"/>
      <c r="G1586" s="2"/>
      <c r="H1586" s="2"/>
      <c r="I1586" s="2"/>
      <c r="J1586" s="2"/>
      <c r="K1586" s="2"/>
      <c r="L1586" s="2"/>
    </row>
    <row r="1587" spans="2:12" ht="13.2" x14ac:dyDescent="0.25">
      <c r="B1587" s="2"/>
      <c r="C1587" s="2"/>
      <c r="D1587" s="2"/>
      <c r="E1587" s="2"/>
      <c r="F1587" s="2"/>
      <c r="G1587" s="2"/>
      <c r="H1587" s="2"/>
      <c r="I1587" s="2"/>
      <c r="J1587" s="2"/>
      <c r="K1587" s="2"/>
      <c r="L1587" s="2"/>
    </row>
    <row r="1588" spans="2:12" ht="13.2" x14ac:dyDescent="0.25">
      <c r="B1588" s="2"/>
      <c r="C1588" s="2"/>
      <c r="D1588" s="2"/>
      <c r="E1588" s="2"/>
      <c r="F1588" s="2"/>
      <c r="G1588" s="2"/>
      <c r="H1588" s="2"/>
      <c r="I1588" s="2"/>
      <c r="J1588" s="2"/>
      <c r="K1588" s="2"/>
      <c r="L1588" s="2"/>
    </row>
    <row r="1589" spans="2:12" ht="13.2" x14ac:dyDescent="0.25">
      <c r="B1589" s="2"/>
      <c r="C1589" s="2"/>
      <c r="D1589" s="2"/>
      <c r="E1589" s="2"/>
      <c r="F1589" s="2"/>
      <c r="G1589" s="2"/>
      <c r="H1589" s="2"/>
      <c r="I1589" s="2"/>
      <c r="J1589" s="2"/>
      <c r="K1589" s="2"/>
      <c r="L1589" s="2"/>
    </row>
    <row r="1590" spans="2:12" ht="13.2" x14ac:dyDescent="0.25">
      <c r="B1590" s="2"/>
      <c r="C1590" s="2"/>
      <c r="D1590" s="2"/>
      <c r="E1590" s="2"/>
      <c r="F1590" s="2"/>
      <c r="G1590" s="2"/>
      <c r="H1590" s="2"/>
      <c r="I1590" s="2"/>
      <c r="J1590" s="2"/>
      <c r="K1590" s="2"/>
      <c r="L1590" s="2"/>
    </row>
    <row r="1591" spans="2:12" ht="13.2" x14ac:dyDescent="0.25">
      <c r="B1591" s="2"/>
      <c r="C1591" s="2"/>
      <c r="D1591" s="2"/>
      <c r="E1591" s="2"/>
      <c r="F1591" s="2"/>
      <c r="G1591" s="2"/>
      <c r="H1591" s="2"/>
      <c r="I1591" s="2"/>
      <c r="J1591" s="2"/>
      <c r="K1591" s="2"/>
      <c r="L1591" s="2"/>
    </row>
    <row r="1592" spans="2:12" ht="13.2" x14ac:dyDescent="0.25">
      <c r="B1592" s="2"/>
      <c r="C1592" s="2"/>
      <c r="D1592" s="2"/>
      <c r="E1592" s="2"/>
      <c r="F1592" s="2"/>
      <c r="G1592" s="2"/>
      <c r="H1592" s="2"/>
      <c r="I1592" s="2"/>
      <c r="J1592" s="2"/>
      <c r="K1592" s="2"/>
      <c r="L1592" s="2"/>
    </row>
    <row r="1593" spans="2:12" ht="13.2" x14ac:dyDescent="0.25">
      <c r="B1593" s="2"/>
      <c r="C1593" s="2"/>
      <c r="D1593" s="2"/>
      <c r="E1593" s="2"/>
      <c r="F1593" s="2"/>
      <c r="G1593" s="2"/>
      <c r="H1593" s="2"/>
      <c r="I1593" s="2"/>
      <c r="J1593" s="2"/>
      <c r="K1593" s="2"/>
      <c r="L1593" s="2"/>
    </row>
    <row r="1594" spans="2:12" ht="13.2" x14ac:dyDescent="0.25">
      <c r="B1594" s="2"/>
      <c r="C1594" s="2"/>
      <c r="D1594" s="2"/>
      <c r="E1594" s="2"/>
      <c r="F1594" s="2"/>
      <c r="G1594" s="2"/>
      <c r="H1594" s="2"/>
      <c r="I1594" s="2"/>
      <c r="J1594" s="2"/>
      <c r="K1594" s="2"/>
      <c r="L1594" s="2"/>
    </row>
    <row r="1595" spans="2:12" ht="13.2" x14ac:dyDescent="0.25">
      <c r="B1595" s="2"/>
      <c r="C1595" s="2"/>
      <c r="D1595" s="2"/>
      <c r="E1595" s="2"/>
      <c r="F1595" s="2"/>
      <c r="G1595" s="2"/>
      <c r="H1595" s="2"/>
      <c r="I1595" s="2"/>
      <c r="J1595" s="2"/>
      <c r="K1595" s="2"/>
      <c r="L1595" s="2"/>
    </row>
    <row r="1596" spans="2:12" ht="13.2" x14ac:dyDescent="0.25">
      <c r="B1596" s="2"/>
      <c r="C1596" s="2"/>
      <c r="D1596" s="2"/>
      <c r="E1596" s="2"/>
      <c r="F1596" s="2"/>
      <c r="G1596" s="2"/>
      <c r="H1596" s="2"/>
      <c r="I1596" s="2"/>
      <c r="J1596" s="2"/>
      <c r="K1596" s="2"/>
      <c r="L1596" s="2"/>
    </row>
    <row r="1597" spans="2:12" ht="13.2" x14ac:dyDescent="0.25">
      <c r="B1597" s="2"/>
      <c r="C1597" s="2"/>
      <c r="D1597" s="2"/>
      <c r="E1597" s="2"/>
      <c r="F1597" s="2"/>
      <c r="G1597" s="2"/>
      <c r="H1597" s="2"/>
      <c r="I1597" s="2"/>
      <c r="J1597" s="2"/>
      <c r="K1597" s="2"/>
      <c r="L1597" s="2"/>
    </row>
    <row r="1598" spans="2:12" ht="13.2" x14ac:dyDescent="0.25">
      <c r="B1598" s="2"/>
      <c r="C1598" s="2"/>
      <c r="D1598" s="2"/>
      <c r="E1598" s="2"/>
      <c r="F1598" s="2"/>
      <c r="G1598" s="2"/>
      <c r="H1598" s="2"/>
      <c r="I1598" s="2"/>
      <c r="J1598" s="2"/>
      <c r="K1598" s="2"/>
      <c r="L1598" s="2"/>
    </row>
    <row r="1599" spans="2:12" ht="13.2" x14ac:dyDescent="0.25">
      <c r="B1599" s="2"/>
      <c r="C1599" s="2"/>
      <c r="D1599" s="2"/>
      <c r="E1599" s="2"/>
      <c r="F1599" s="2"/>
      <c r="G1599" s="2"/>
      <c r="H1599" s="2"/>
      <c r="I1599" s="2"/>
      <c r="J1599" s="2"/>
      <c r="K1599" s="2"/>
      <c r="L1599" s="2"/>
    </row>
    <row r="1600" spans="2:12" ht="13.2" x14ac:dyDescent="0.25">
      <c r="B1600" s="2"/>
      <c r="C1600" s="2"/>
      <c r="D1600" s="2"/>
      <c r="E1600" s="2"/>
      <c r="F1600" s="2"/>
      <c r="G1600" s="2"/>
      <c r="H1600" s="2"/>
      <c r="I1600" s="2"/>
      <c r="J1600" s="2"/>
      <c r="K1600" s="2"/>
      <c r="L1600" s="2"/>
    </row>
    <row r="1601" spans="2:12" ht="13.2" x14ac:dyDescent="0.25">
      <c r="B1601" s="2"/>
      <c r="C1601" s="2"/>
      <c r="D1601" s="2"/>
      <c r="E1601" s="2"/>
      <c r="F1601" s="2"/>
      <c r="G1601" s="2"/>
      <c r="H1601" s="2"/>
      <c r="I1601" s="2"/>
      <c r="J1601" s="2"/>
      <c r="K1601" s="2"/>
      <c r="L1601" s="2"/>
    </row>
    <row r="1602" spans="2:12" ht="13.2" x14ac:dyDescent="0.25">
      <c r="B1602" s="2"/>
      <c r="C1602" s="2"/>
      <c r="D1602" s="2"/>
      <c r="E1602" s="2"/>
      <c r="F1602" s="2"/>
      <c r="G1602" s="2"/>
      <c r="H1602" s="2"/>
      <c r="I1602" s="2"/>
      <c r="J1602" s="2"/>
      <c r="K1602" s="2"/>
      <c r="L1602" s="2"/>
    </row>
    <row r="1603" spans="2:12" ht="13.2" x14ac:dyDescent="0.25">
      <c r="B1603" s="2"/>
      <c r="C1603" s="2"/>
      <c r="D1603" s="2"/>
      <c r="E1603" s="2"/>
      <c r="F1603" s="2"/>
      <c r="G1603" s="2"/>
      <c r="H1603" s="2"/>
      <c r="I1603" s="2"/>
      <c r="J1603" s="2"/>
      <c r="K1603" s="2"/>
      <c r="L1603" s="2"/>
    </row>
    <row r="1604" spans="2:12" ht="13.2" x14ac:dyDescent="0.25">
      <c r="B1604" s="2"/>
      <c r="C1604" s="2"/>
      <c r="D1604" s="2"/>
      <c r="E1604" s="2"/>
      <c r="F1604" s="2"/>
      <c r="G1604" s="2"/>
      <c r="H1604" s="2"/>
      <c r="I1604" s="2"/>
      <c r="J1604" s="2"/>
      <c r="K1604" s="2"/>
      <c r="L1604" s="2"/>
    </row>
    <row r="1605" spans="2:12" ht="13.2" x14ac:dyDescent="0.25">
      <c r="B1605" s="2"/>
      <c r="C1605" s="2"/>
      <c r="D1605" s="2"/>
      <c r="E1605" s="2"/>
      <c r="F1605" s="2"/>
      <c r="G1605" s="2"/>
      <c r="H1605" s="2"/>
      <c r="I1605" s="2"/>
      <c r="J1605" s="2"/>
      <c r="K1605" s="2"/>
      <c r="L1605" s="2"/>
    </row>
    <row r="1606" spans="2:12" ht="13.2" x14ac:dyDescent="0.25">
      <c r="B1606" s="2"/>
      <c r="C1606" s="2"/>
      <c r="D1606" s="2"/>
      <c r="E1606" s="2"/>
      <c r="F1606" s="2"/>
      <c r="G1606" s="2"/>
      <c r="H1606" s="2"/>
      <c r="I1606" s="2"/>
      <c r="J1606" s="2"/>
      <c r="K1606" s="2"/>
      <c r="L1606" s="2"/>
    </row>
    <row r="1607" spans="2:12" ht="13.2" x14ac:dyDescent="0.25">
      <c r="B1607" s="2"/>
      <c r="C1607" s="2"/>
      <c r="D1607" s="2"/>
      <c r="E1607" s="2"/>
      <c r="F1607" s="2"/>
      <c r="G1607" s="2"/>
      <c r="H1607" s="2"/>
      <c r="I1607" s="2"/>
      <c r="J1607" s="2"/>
      <c r="K1607" s="2"/>
      <c r="L1607" s="2"/>
    </row>
    <row r="1608" spans="2:12" ht="13.2" x14ac:dyDescent="0.25">
      <c r="B1608" s="2"/>
      <c r="C1608" s="2"/>
      <c r="D1608" s="2"/>
      <c r="E1608" s="2"/>
      <c r="F1608" s="2"/>
      <c r="G1608" s="2"/>
      <c r="H1608" s="2"/>
      <c r="I1608" s="2"/>
      <c r="J1608" s="2"/>
      <c r="K1608" s="2"/>
      <c r="L1608" s="2"/>
    </row>
    <row r="1609" spans="2:12" ht="13.2" x14ac:dyDescent="0.25">
      <c r="B1609" s="2"/>
      <c r="C1609" s="2"/>
      <c r="D1609" s="2"/>
      <c r="E1609" s="2"/>
      <c r="F1609" s="2"/>
      <c r="G1609" s="2"/>
      <c r="H1609" s="2"/>
      <c r="I1609" s="2"/>
      <c r="J1609" s="2"/>
      <c r="K1609" s="2"/>
      <c r="L1609" s="2"/>
    </row>
    <row r="1610" spans="2:12" ht="13.2" x14ac:dyDescent="0.25">
      <c r="B1610" s="2"/>
      <c r="C1610" s="2"/>
      <c r="D1610" s="2"/>
      <c r="E1610" s="2"/>
      <c r="F1610" s="2"/>
      <c r="G1610" s="2"/>
      <c r="H1610" s="2"/>
      <c r="I1610" s="2"/>
      <c r="J1610" s="2"/>
      <c r="K1610" s="2"/>
      <c r="L1610" s="2"/>
    </row>
    <row r="1611" spans="2:12" ht="13.2" x14ac:dyDescent="0.25">
      <c r="B1611" s="2"/>
      <c r="C1611" s="2"/>
      <c r="D1611" s="2"/>
      <c r="E1611" s="2"/>
      <c r="F1611" s="2"/>
      <c r="G1611" s="2"/>
      <c r="H1611" s="2"/>
      <c r="I1611" s="2"/>
      <c r="J1611" s="2"/>
      <c r="K1611" s="2"/>
      <c r="L1611" s="2"/>
    </row>
    <row r="1612" spans="2:12" ht="13.2" x14ac:dyDescent="0.25">
      <c r="B1612" s="2"/>
      <c r="C1612" s="2"/>
      <c r="D1612" s="2"/>
      <c r="E1612" s="2"/>
      <c r="F1612" s="2"/>
      <c r="G1612" s="2"/>
      <c r="H1612" s="2"/>
      <c r="I1612" s="2"/>
      <c r="J1612" s="2"/>
      <c r="K1612" s="2"/>
      <c r="L1612" s="2"/>
    </row>
    <row r="1613" spans="2:12" ht="13.2" x14ac:dyDescent="0.25">
      <c r="B1613" s="2"/>
      <c r="C1613" s="2"/>
      <c r="D1613" s="2"/>
      <c r="E1613" s="2"/>
      <c r="F1613" s="2"/>
      <c r="G1613" s="2"/>
      <c r="H1613" s="2"/>
      <c r="I1613" s="2"/>
      <c r="J1613" s="2"/>
      <c r="K1613" s="2"/>
      <c r="L1613" s="2"/>
    </row>
    <row r="1614" spans="2:12" ht="13.2" x14ac:dyDescent="0.25">
      <c r="B1614" s="2"/>
      <c r="C1614" s="2"/>
      <c r="D1614" s="2"/>
      <c r="E1614" s="2"/>
      <c r="F1614" s="2"/>
      <c r="G1614" s="2"/>
      <c r="H1614" s="2"/>
      <c r="I1614" s="2"/>
      <c r="J1614" s="2"/>
      <c r="K1614" s="2"/>
      <c r="L1614" s="2"/>
    </row>
    <row r="1615" spans="2:12" ht="13.2" x14ac:dyDescent="0.25">
      <c r="B1615" s="2"/>
      <c r="C1615" s="2"/>
      <c r="D1615" s="2"/>
      <c r="E1615" s="2"/>
      <c r="F1615" s="2"/>
      <c r="G1615" s="2"/>
      <c r="H1615" s="2"/>
      <c r="I1615" s="2"/>
      <c r="J1615" s="2"/>
      <c r="K1615" s="2"/>
      <c r="L1615" s="2"/>
    </row>
    <row r="1616" spans="2:12" ht="13.2" x14ac:dyDescent="0.25">
      <c r="B1616" s="2"/>
      <c r="C1616" s="2"/>
      <c r="D1616" s="2"/>
      <c r="E1616" s="2"/>
      <c r="F1616" s="2"/>
      <c r="G1616" s="2"/>
      <c r="H1616" s="2"/>
      <c r="I1616" s="2"/>
      <c r="J1616" s="2"/>
      <c r="K1616" s="2"/>
      <c r="L1616" s="2"/>
    </row>
    <row r="1617" spans="2:12" ht="13.2" x14ac:dyDescent="0.25">
      <c r="B1617" s="2"/>
      <c r="C1617" s="2"/>
      <c r="D1617" s="2"/>
      <c r="E1617" s="2"/>
      <c r="F1617" s="2"/>
      <c r="G1617" s="2"/>
      <c r="H1617" s="2"/>
      <c r="I1617" s="2"/>
      <c r="J1617" s="2"/>
      <c r="K1617" s="2"/>
      <c r="L1617" s="2"/>
    </row>
    <row r="1618" spans="2:12" ht="13.2" x14ac:dyDescent="0.25">
      <c r="B1618" s="2"/>
      <c r="C1618" s="2"/>
      <c r="D1618" s="2"/>
      <c r="E1618" s="2"/>
      <c r="F1618" s="2"/>
      <c r="G1618" s="2"/>
      <c r="H1618" s="2"/>
      <c r="I1618" s="2"/>
      <c r="J1618" s="2"/>
      <c r="K1618" s="2"/>
      <c r="L1618" s="2"/>
    </row>
    <row r="1619" spans="2:12" ht="13.2" x14ac:dyDescent="0.25">
      <c r="B1619" s="2"/>
      <c r="C1619" s="2"/>
      <c r="D1619" s="2"/>
      <c r="E1619" s="2"/>
      <c r="F1619" s="2"/>
      <c r="G1619" s="2"/>
      <c r="H1619" s="2"/>
      <c r="I1619" s="2"/>
      <c r="J1619" s="2"/>
      <c r="K1619" s="2"/>
      <c r="L1619" s="2"/>
    </row>
    <row r="1620" spans="2:12" ht="13.2" x14ac:dyDescent="0.25">
      <c r="B1620" s="2"/>
      <c r="C1620" s="2"/>
      <c r="D1620" s="2"/>
      <c r="E1620" s="2"/>
      <c r="F1620" s="2"/>
      <c r="G1620" s="2"/>
      <c r="H1620" s="2"/>
      <c r="I1620" s="2"/>
      <c r="J1620" s="2"/>
      <c r="K1620" s="2"/>
      <c r="L1620" s="2"/>
    </row>
    <row r="1621" spans="2:12" ht="13.2" x14ac:dyDescent="0.25">
      <c r="B1621" s="2"/>
      <c r="C1621" s="2"/>
      <c r="D1621" s="2"/>
      <c r="E1621" s="2"/>
      <c r="F1621" s="2"/>
      <c r="G1621" s="2"/>
      <c r="H1621" s="2"/>
      <c r="I1621" s="2"/>
      <c r="J1621" s="2"/>
      <c r="K1621" s="2"/>
      <c r="L1621" s="2"/>
    </row>
    <row r="1622" spans="2:12" ht="13.2" x14ac:dyDescent="0.25">
      <c r="B1622" s="2"/>
      <c r="C1622" s="2"/>
      <c r="D1622" s="2"/>
      <c r="E1622" s="2"/>
      <c r="F1622" s="2"/>
      <c r="G1622" s="2"/>
      <c r="H1622" s="2"/>
      <c r="I1622" s="2"/>
      <c r="J1622" s="2"/>
      <c r="K1622" s="2"/>
      <c r="L1622" s="2"/>
    </row>
    <row r="1623" spans="2:12" ht="13.2" x14ac:dyDescent="0.25">
      <c r="B1623" s="2"/>
      <c r="C1623" s="2"/>
      <c r="D1623" s="2"/>
      <c r="E1623" s="2"/>
      <c r="F1623" s="2"/>
      <c r="G1623" s="2"/>
      <c r="H1623" s="2"/>
      <c r="I1623" s="2"/>
      <c r="J1623" s="2"/>
      <c r="K1623" s="2"/>
      <c r="L1623" s="2"/>
    </row>
    <row r="1624" spans="2:12" ht="13.2" x14ac:dyDescent="0.25">
      <c r="B1624" s="2"/>
      <c r="C1624" s="2"/>
      <c r="D1624" s="2"/>
      <c r="E1624" s="2"/>
      <c r="F1624" s="2"/>
      <c r="G1624" s="2"/>
      <c r="H1624" s="2"/>
      <c r="I1624" s="2"/>
      <c r="J1624" s="2"/>
      <c r="K1624" s="2"/>
      <c r="L1624" s="2"/>
    </row>
    <row r="1625" spans="2:12" ht="13.2" x14ac:dyDescent="0.25">
      <c r="B1625" s="2"/>
      <c r="C1625" s="2"/>
      <c r="D1625" s="2"/>
      <c r="E1625" s="2"/>
      <c r="F1625" s="2"/>
      <c r="G1625" s="2"/>
      <c r="H1625" s="2"/>
      <c r="I1625" s="2"/>
      <c r="J1625" s="2"/>
      <c r="K1625" s="2"/>
      <c r="L1625" s="2"/>
    </row>
    <row r="1626" spans="2:12" ht="13.2" x14ac:dyDescent="0.25">
      <c r="B1626" s="2"/>
      <c r="C1626" s="2"/>
      <c r="D1626" s="2"/>
      <c r="E1626" s="2"/>
      <c r="F1626" s="2"/>
      <c r="G1626" s="2"/>
      <c r="H1626" s="2"/>
      <c r="I1626" s="2"/>
      <c r="J1626" s="2"/>
      <c r="K1626" s="2"/>
      <c r="L1626" s="2"/>
    </row>
    <row r="1627" spans="2:12" ht="13.2" x14ac:dyDescent="0.25">
      <c r="B1627" s="2"/>
      <c r="C1627" s="2"/>
      <c r="D1627" s="2"/>
      <c r="E1627" s="2"/>
      <c r="F1627" s="2"/>
      <c r="G1627" s="2"/>
      <c r="H1627" s="2"/>
      <c r="I1627" s="2"/>
      <c r="J1627" s="2"/>
      <c r="K1627" s="2"/>
      <c r="L1627" s="2"/>
    </row>
    <row r="1628" spans="2:12" ht="13.2" x14ac:dyDescent="0.25">
      <c r="B1628" s="2"/>
      <c r="C1628" s="2"/>
      <c r="D1628" s="2"/>
      <c r="E1628" s="2"/>
      <c r="F1628" s="2"/>
      <c r="G1628" s="2"/>
      <c r="H1628" s="2"/>
      <c r="I1628" s="2"/>
      <c r="J1628" s="2"/>
      <c r="K1628" s="2"/>
      <c r="L1628" s="2"/>
    </row>
    <row r="1629" spans="2:12" ht="13.2" x14ac:dyDescent="0.25">
      <c r="B1629" s="2"/>
      <c r="C1629" s="2"/>
      <c r="D1629" s="2"/>
      <c r="E1629" s="2"/>
      <c r="F1629" s="2"/>
      <c r="G1629" s="2"/>
      <c r="H1629" s="2"/>
      <c r="I1629" s="2"/>
      <c r="J1629" s="2"/>
      <c r="K1629" s="2"/>
      <c r="L1629" s="2"/>
    </row>
    <row r="1630" spans="2:12" ht="13.2" x14ac:dyDescent="0.25">
      <c r="B1630" s="2"/>
      <c r="C1630" s="2"/>
      <c r="D1630" s="2"/>
      <c r="E1630" s="2"/>
      <c r="F1630" s="2"/>
      <c r="G1630" s="2"/>
      <c r="H1630" s="2"/>
      <c r="I1630" s="2"/>
      <c r="J1630" s="2"/>
      <c r="K1630" s="2"/>
      <c r="L1630" s="2"/>
    </row>
    <row r="1631" spans="2:12" ht="13.2" x14ac:dyDescent="0.25">
      <c r="B1631" s="2"/>
      <c r="C1631" s="2"/>
      <c r="D1631" s="2"/>
      <c r="E1631" s="2"/>
      <c r="F1631" s="2"/>
      <c r="G1631" s="2"/>
      <c r="H1631" s="2"/>
      <c r="I1631" s="2"/>
      <c r="J1631" s="2"/>
      <c r="K1631" s="2"/>
      <c r="L1631" s="2"/>
    </row>
    <row r="1632" spans="2:12" ht="13.2" x14ac:dyDescent="0.25">
      <c r="B1632" s="2"/>
      <c r="C1632" s="2"/>
      <c r="D1632" s="2"/>
      <c r="E1632" s="2"/>
      <c r="F1632" s="2"/>
      <c r="G1632" s="2"/>
      <c r="H1632" s="2"/>
      <c r="I1632" s="2"/>
      <c r="J1632" s="2"/>
      <c r="K1632" s="2"/>
      <c r="L1632" s="2"/>
    </row>
    <row r="1633" spans="2:12" ht="13.2" x14ac:dyDescent="0.25">
      <c r="B1633" s="2"/>
      <c r="C1633" s="2"/>
      <c r="D1633" s="2"/>
      <c r="E1633" s="2"/>
      <c r="F1633" s="2"/>
      <c r="G1633" s="2"/>
      <c r="H1633" s="2"/>
      <c r="I1633" s="2"/>
      <c r="J1633" s="2"/>
      <c r="K1633" s="2"/>
      <c r="L1633" s="2"/>
    </row>
    <row r="1634" spans="2:12" ht="13.2" x14ac:dyDescent="0.25">
      <c r="B1634" s="2"/>
      <c r="C1634" s="2"/>
      <c r="D1634" s="2"/>
      <c r="E1634" s="2"/>
      <c r="F1634" s="2"/>
      <c r="G1634" s="2"/>
      <c r="H1634" s="2"/>
      <c r="I1634" s="2"/>
      <c r="J1634" s="2"/>
      <c r="K1634" s="2"/>
      <c r="L1634" s="2"/>
    </row>
    <row r="1635" spans="2:12" ht="13.2" x14ac:dyDescent="0.25">
      <c r="B1635" s="2"/>
      <c r="C1635" s="2"/>
      <c r="D1635" s="2"/>
      <c r="E1635" s="2"/>
      <c r="F1635" s="2"/>
      <c r="G1635" s="2"/>
      <c r="H1635" s="2"/>
      <c r="I1635" s="2"/>
      <c r="J1635" s="2"/>
      <c r="K1635" s="2"/>
      <c r="L1635" s="2"/>
    </row>
    <row r="1636" spans="2:12" ht="13.2" x14ac:dyDescent="0.25">
      <c r="B1636" s="2"/>
      <c r="C1636" s="2"/>
      <c r="D1636" s="2"/>
      <c r="E1636" s="2"/>
      <c r="F1636" s="2"/>
      <c r="G1636" s="2"/>
      <c r="H1636" s="2"/>
      <c r="I1636" s="2"/>
      <c r="J1636" s="2"/>
      <c r="K1636" s="2"/>
      <c r="L1636" s="2"/>
    </row>
    <row r="1637" spans="2:12" ht="13.2" x14ac:dyDescent="0.25">
      <c r="B1637" s="2"/>
      <c r="C1637" s="2"/>
      <c r="D1637" s="2"/>
      <c r="E1637" s="2"/>
      <c r="F1637" s="2"/>
      <c r="G1637" s="2"/>
      <c r="H1637" s="2"/>
      <c r="I1637" s="2"/>
      <c r="J1637" s="2"/>
      <c r="K1637" s="2"/>
      <c r="L1637" s="2"/>
    </row>
    <row r="1638" spans="2:12" ht="13.2" x14ac:dyDescent="0.25">
      <c r="B1638" s="2"/>
      <c r="C1638" s="2"/>
      <c r="D1638" s="2"/>
      <c r="E1638" s="2"/>
      <c r="F1638" s="2"/>
      <c r="G1638" s="2"/>
      <c r="H1638" s="2"/>
      <c r="I1638" s="2"/>
      <c r="J1638" s="2"/>
      <c r="K1638" s="2"/>
      <c r="L1638" s="2"/>
    </row>
    <row r="1639" spans="2:12" ht="13.2" x14ac:dyDescent="0.25">
      <c r="B1639" s="2"/>
      <c r="C1639" s="2"/>
      <c r="D1639" s="2"/>
      <c r="E1639" s="2"/>
      <c r="F1639" s="2"/>
      <c r="G1639" s="2"/>
      <c r="H1639" s="2"/>
      <c r="I1639" s="2"/>
      <c r="J1639" s="2"/>
      <c r="K1639" s="2"/>
      <c r="L1639" s="2"/>
    </row>
    <row r="1640" spans="2:12" ht="13.2" x14ac:dyDescent="0.25">
      <c r="B1640" s="2"/>
      <c r="C1640" s="2"/>
      <c r="D1640" s="2"/>
      <c r="E1640" s="2"/>
      <c r="F1640" s="2"/>
      <c r="G1640" s="2"/>
      <c r="H1640" s="2"/>
      <c r="I1640" s="2"/>
      <c r="J1640" s="2"/>
      <c r="K1640" s="2"/>
      <c r="L1640" s="2"/>
    </row>
    <row r="1641" spans="2:12" ht="13.2" x14ac:dyDescent="0.25">
      <c r="B1641" s="2"/>
      <c r="C1641" s="2"/>
      <c r="D1641" s="2"/>
      <c r="E1641" s="2"/>
      <c r="F1641" s="2"/>
      <c r="G1641" s="2"/>
      <c r="H1641" s="2"/>
      <c r="I1641" s="2"/>
      <c r="J1641" s="2"/>
      <c r="K1641" s="2"/>
      <c r="L1641" s="2"/>
    </row>
    <row r="1642" spans="2:12" ht="13.2" x14ac:dyDescent="0.25">
      <c r="B1642" s="2"/>
      <c r="C1642" s="2"/>
      <c r="D1642" s="2"/>
      <c r="E1642" s="2"/>
      <c r="F1642" s="2"/>
      <c r="G1642" s="2"/>
      <c r="H1642" s="2"/>
      <c r="I1642" s="2"/>
      <c r="J1642" s="2"/>
      <c r="K1642" s="2"/>
      <c r="L1642" s="2"/>
    </row>
    <row r="1643" spans="2:12" ht="13.2" x14ac:dyDescent="0.25">
      <c r="B1643" s="2"/>
      <c r="C1643" s="2"/>
      <c r="D1643" s="2"/>
      <c r="E1643" s="2"/>
      <c r="F1643" s="2"/>
      <c r="G1643" s="2"/>
      <c r="H1643" s="2"/>
      <c r="I1643" s="2"/>
      <c r="J1643" s="2"/>
      <c r="K1643" s="2"/>
      <c r="L1643" s="2"/>
    </row>
    <row r="1644" spans="2:12" ht="13.2" x14ac:dyDescent="0.25">
      <c r="B1644" s="2"/>
      <c r="C1644" s="2"/>
      <c r="D1644" s="2"/>
      <c r="E1644" s="2"/>
      <c r="F1644" s="2"/>
      <c r="G1644" s="2"/>
      <c r="H1644" s="2"/>
      <c r="I1644" s="2"/>
      <c r="J1644" s="2"/>
      <c r="K1644" s="2"/>
      <c r="L1644" s="2"/>
    </row>
    <row r="1645" spans="2:12" ht="13.2" x14ac:dyDescent="0.25">
      <c r="B1645" s="2"/>
      <c r="C1645" s="2"/>
      <c r="D1645" s="2"/>
      <c r="E1645" s="2"/>
      <c r="F1645" s="2"/>
      <c r="G1645" s="2"/>
      <c r="H1645" s="2"/>
      <c r="I1645" s="2"/>
      <c r="J1645" s="2"/>
      <c r="K1645" s="2"/>
      <c r="L1645" s="2"/>
    </row>
    <row r="1646" spans="2:12" ht="13.2" x14ac:dyDescent="0.25">
      <c r="B1646" s="2"/>
      <c r="C1646" s="2"/>
      <c r="D1646" s="2"/>
      <c r="E1646" s="2"/>
      <c r="F1646" s="2"/>
      <c r="G1646" s="2"/>
      <c r="H1646" s="2"/>
      <c r="I1646" s="2"/>
      <c r="J1646" s="2"/>
      <c r="K1646" s="2"/>
      <c r="L1646" s="2"/>
    </row>
    <row r="1647" spans="2:12" ht="13.2" x14ac:dyDescent="0.25">
      <c r="B1647" s="2"/>
      <c r="C1647" s="2"/>
      <c r="D1647" s="2"/>
      <c r="E1647" s="2"/>
      <c r="F1647" s="2"/>
      <c r="G1647" s="2"/>
      <c r="H1647" s="2"/>
      <c r="I1647" s="2"/>
      <c r="J1647" s="2"/>
      <c r="K1647" s="2"/>
      <c r="L1647" s="2"/>
    </row>
    <row r="1648" spans="2:12" ht="13.2" x14ac:dyDescent="0.25">
      <c r="B1648" s="2"/>
      <c r="C1648" s="2"/>
      <c r="D1648" s="2"/>
      <c r="E1648" s="2"/>
      <c r="F1648" s="2"/>
      <c r="G1648" s="2"/>
      <c r="H1648" s="2"/>
      <c r="I1648" s="2"/>
      <c r="J1648" s="2"/>
      <c r="K1648" s="2"/>
      <c r="L1648" s="2"/>
    </row>
    <row r="1649" spans="2:12" ht="13.2" x14ac:dyDescent="0.25">
      <c r="B1649" s="2"/>
      <c r="C1649" s="2"/>
      <c r="D1649" s="2"/>
      <c r="E1649" s="2"/>
      <c r="F1649" s="2"/>
      <c r="G1649" s="2"/>
      <c r="H1649" s="2"/>
      <c r="I1649" s="2"/>
      <c r="J1649" s="2"/>
      <c r="K1649" s="2"/>
      <c r="L1649" s="2"/>
    </row>
    <row r="1650" spans="2:12" ht="13.2" x14ac:dyDescent="0.25">
      <c r="B1650" s="2"/>
      <c r="C1650" s="2"/>
      <c r="D1650" s="2"/>
      <c r="E1650" s="2"/>
      <c r="F1650" s="2"/>
      <c r="G1650" s="2"/>
      <c r="H1650" s="2"/>
      <c r="I1650" s="2"/>
      <c r="J1650" s="2"/>
      <c r="K1650" s="2"/>
      <c r="L1650" s="2"/>
    </row>
    <row r="1651" spans="2:12" ht="13.2" x14ac:dyDescent="0.25">
      <c r="B1651" s="2"/>
      <c r="C1651" s="2"/>
      <c r="D1651" s="2"/>
      <c r="E1651" s="2"/>
      <c r="F1651" s="2"/>
      <c r="G1651" s="2"/>
      <c r="H1651" s="2"/>
      <c r="I1651" s="2"/>
      <c r="J1651" s="2"/>
      <c r="K1651" s="2"/>
      <c r="L1651" s="2"/>
    </row>
    <row r="1652" spans="2:12" ht="13.2" x14ac:dyDescent="0.25">
      <c r="B1652" s="2"/>
      <c r="C1652" s="2"/>
      <c r="D1652" s="2"/>
      <c r="E1652" s="2"/>
      <c r="F1652" s="2"/>
      <c r="G1652" s="2"/>
      <c r="H1652" s="2"/>
      <c r="I1652" s="2"/>
      <c r="J1652" s="2"/>
      <c r="K1652" s="2"/>
      <c r="L1652" s="2"/>
    </row>
    <row r="1653" spans="2:12" ht="13.2" x14ac:dyDescent="0.25">
      <c r="B1653" s="2"/>
      <c r="C1653" s="2"/>
      <c r="D1653" s="2"/>
      <c r="E1653" s="2"/>
      <c r="F1653" s="2"/>
      <c r="G1653" s="2"/>
      <c r="H1653" s="2"/>
      <c r="I1653" s="2"/>
      <c r="J1653" s="2"/>
      <c r="K1653" s="2"/>
      <c r="L1653" s="2"/>
    </row>
    <row r="1654" spans="2:12" ht="13.2" x14ac:dyDescent="0.25">
      <c r="B1654" s="2"/>
      <c r="C1654" s="2"/>
      <c r="D1654" s="2"/>
      <c r="E1654" s="2"/>
      <c r="F1654" s="2"/>
      <c r="G1654" s="2"/>
      <c r="H1654" s="2"/>
      <c r="I1654" s="2"/>
      <c r="J1654" s="2"/>
      <c r="K1654" s="2"/>
      <c r="L1654" s="2"/>
    </row>
    <row r="1655" spans="2:12" ht="13.2" x14ac:dyDescent="0.25">
      <c r="B1655" s="2"/>
      <c r="C1655" s="2"/>
      <c r="D1655" s="2"/>
      <c r="E1655" s="2"/>
      <c r="F1655" s="2"/>
      <c r="G1655" s="2"/>
      <c r="H1655" s="2"/>
      <c r="I1655" s="2"/>
      <c r="J1655" s="2"/>
      <c r="K1655" s="2"/>
      <c r="L1655" s="2"/>
    </row>
    <row r="1656" spans="2:12" ht="13.2" x14ac:dyDescent="0.25">
      <c r="B1656" s="2"/>
      <c r="C1656" s="2"/>
      <c r="D1656" s="2"/>
      <c r="E1656" s="2"/>
      <c r="F1656" s="2"/>
      <c r="G1656" s="2"/>
      <c r="H1656" s="2"/>
      <c r="I1656" s="2"/>
      <c r="J1656" s="2"/>
      <c r="K1656" s="2"/>
      <c r="L1656" s="2"/>
    </row>
    <row r="1657" spans="2:12" ht="13.2" x14ac:dyDescent="0.25">
      <c r="B1657" s="2"/>
      <c r="C1657" s="2"/>
      <c r="D1657" s="2"/>
      <c r="E1657" s="2"/>
      <c r="F1657" s="2"/>
      <c r="G1657" s="2"/>
      <c r="H1657" s="2"/>
      <c r="I1657" s="2"/>
      <c r="J1657" s="2"/>
      <c r="K1657" s="2"/>
      <c r="L1657" s="2"/>
    </row>
    <row r="1658" spans="2:12" ht="13.2" x14ac:dyDescent="0.25">
      <c r="B1658" s="2"/>
      <c r="C1658" s="2"/>
      <c r="D1658" s="2"/>
      <c r="E1658" s="2"/>
      <c r="F1658" s="2"/>
      <c r="G1658" s="2"/>
      <c r="H1658" s="2"/>
      <c r="I1658" s="2"/>
      <c r="J1658" s="2"/>
      <c r="K1658" s="2"/>
      <c r="L1658" s="2"/>
    </row>
    <row r="1659" spans="2:12" ht="13.2" x14ac:dyDescent="0.25">
      <c r="B1659" s="2"/>
      <c r="C1659" s="2"/>
      <c r="D1659" s="2"/>
      <c r="E1659" s="2"/>
      <c r="F1659" s="2"/>
      <c r="G1659" s="2"/>
      <c r="H1659" s="2"/>
      <c r="I1659" s="2"/>
      <c r="J1659" s="2"/>
      <c r="K1659" s="2"/>
      <c r="L1659" s="2"/>
    </row>
    <row r="1660" spans="2:12" ht="13.2" x14ac:dyDescent="0.25">
      <c r="B1660" s="2"/>
      <c r="C1660" s="2"/>
      <c r="D1660" s="2"/>
      <c r="E1660" s="2"/>
      <c r="F1660" s="2"/>
      <c r="G1660" s="2"/>
      <c r="H1660" s="2"/>
      <c r="I1660" s="2"/>
      <c r="J1660" s="2"/>
      <c r="K1660" s="2"/>
      <c r="L1660" s="2"/>
    </row>
    <row r="1661" spans="2:12" ht="13.2" x14ac:dyDescent="0.25">
      <c r="B1661" s="2"/>
      <c r="C1661" s="2"/>
      <c r="D1661" s="2"/>
      <c r="E1661" s="2"/>
      <c r="F1661" s="2"/>
      <c r="G1661" s="2"/>
      <c r="H1661" s="2"/>
      <c r="I1661" s="2"/>
      <c r="J1661" s="2"/>
      <c r="K1661" s="2"/>
      <c r="L1661" s="2"/>
    </row>
    <row r="1662" spans="2:12" ht="13.2" x14ac:dyDescent="0.25">
      <c r="B1662" s="2"/>
      <c r="C1662" s="2"/>
      <c r="D1662" s="2"/>
      <c r="E1662" s="2"/>
      <c r="F1662" s="2"/>
      <c r="G1662" s="2"/>
      <c r="H1662" s="2"/>
      <c r="I1662" s="2"/>
      <c r="J1662" s="2"/>
      <c r="K1662" s="2"/>
      <c r="L1662" s="2"/>
    </row>
    <row r="1663" spans="2:12" ht="13.2" x14ac:dyDescent="0.25">
      <c r="B1663" s="2"/>
      <c r="C1663" s="2"/>
      <c r="D1663" s="2"/>
      <c r="E1663" s="2"/>
      <c r="F1663" s="2"/>
      <c r="G1663" s="2"/>
      <c r="H1663" s="2"/>
      <c r="I1663" s="2"/>
      <c r="J1663" s="2"/>
      <c r="K1663" s="2"/>
      <c r="L1663" s="2"/>
    </row>
    <row r="1664" spans="2:12" ht="13.2" x14ac:dyDescent="0.25">
      <c r="B1664" s="2"/>
      <c r="C1664" s="2"/>
      <c r="D1664" s="2"/>
      <c r="E1664" s="2"/>
      <c r="F1664" s="2"/>
      <c r="G1664" s="2"/>
      <c r="H1664" s="2"/>
      <c r="I1664" s="2"/>
      <c r="J1664" s="2"/>
      <c r="K1664" s="2"/>
      <c r="L1664" s="2"/>
    </row>
    <row r="1665" spans="2:12" ht="13.2" x14ac:dyDescent="0.25">
      <c r="B1665" s="2"/>
      <c r="C1665" s="2"/>
      <c r="D1665" s="2"/>
      <c r="E1665" s="2"/>
      <c r="F1665" s="2"/>
      <c r="G1665" s="2"/>
      <c r="H1665" s="2"/>
      <c r="I1665" s="2"/>
      <c r="J1665" s="2"/>
      <c r="K1665" s="2"/>
      <c r="L1665" s="2"/>
    </row>
    <row r="1666" spans="2:12" ht="13.2" x14ac:dyDescent="0.25">
      <c r="B1666" s="2"/>
      <c r="C1666" s="2"/>
      <c r="D1666" s="2"/>
      <c r="E1666" s="2"/>
      <c r="F1666" s="2"/>
      <c r="G1666" s="2"/>
      <c r="H1666" s="2"/>
      <c r="I1666" s="2"/>
      <c r="J1666" s="2"/>
      <c r="K1666" s="2"/>
      <c r="L1666" s="2"/>
    </row>
    <row r="1667" spans="2:12" ht="13.2" x14ac:dyDescent="0.25">
      <c r="B1667" s="2"/>
      <c r="C1667" s="2"/>
      <c r="D1667" s="2"/>
      <c r="E1667" s="2"/>
      <c r="F1667" s="2"/>
      <c r="G1667" s="2"/>
      <c r="H1667" s="2"/>
      <c r="I1667" s="2"/>
      <c r="J1667" s="2"/>
      <c r="K1667" s="2"/>
      <c r="L1667" s="2"/>
    </row>
    <row r="1668" spans="2:12" ht="13.2" x14ac:dyDescent="0.25">
      <c r="B1668" s="2"/>
      <c r="C1668" s="2"/>
      <c r="D1668" s="2"/>
      <c r="E1668" s="2"/>
      <c r="F1668" s="2"/>
      <c r="G1668" s="2"/>
      <c r="H1668" s="2"/>
      <c r="I1668" s="2"/>
      <c r="J1668" s="2"/>
      <c r="K1668" s="2"/>
      <c r="L1668" s="2"/>
    </row>
    <row r="1669" spans="2:12" ht="13.2" x14ac:dyDescent="0.25">
      <c r="B1669" s="2"/>
      <c r="C1669" s="2"/>
      <c r="D1669" s="2"/>
      <c r="E1669" s="2"/>
      <c r="F1669" s="2"/>
      <c r="G1669" s="2"/>
      <c r="H1669" s="2"/>
      <c r="I1669" s="2"/>
      <c r="J1669" s="2"/>
      <c r="K1669" s="2"/>
      <c r="L1669" s="2"/>
    </row>
    <row r="1670" spans="2:12" ht="13.2" x14ac:dyDescent="0.25">
      <c r="B1670" s="2"/>
      <c r="C1670" s="2"/>
      <c r="D1670" s="2"/>
      <c r="E1670" s="2"/>
      <c r="F1670" s="2"/>
      <c r="G1670" s="2"/>
      <c r="H1670" s="2"/>
      <c r="I1670" s="2"/>
      <c r="J1670" s="2"/>
      <c r="K1670" s="2"/>
      <c r="L1670" s="2"/>
    </row>
    <row r="1671" spans="2:12" ht="13.2" x14ac:dyDescent="0.25">
      <c r="B1671" s="2"/>
      <c r="C1671" s="2"/>
      <c r="D1671" s="2"/>
      <c r="E1671" s="2"/>
      <c r="F1671" s="2"/>
      <c r="G1671" s="2"/>
      <c r="H1671" s="2"/>
      <c r="I1671" s="2"/>
      <c r="J1671" s="2"/>
      <c r="K1671" s="2"/>
      <c r="L1671" s="2"/>
    </row>
    <row r="1672" spans="2:12" ht="13.2" x14ac:dyDescent="0.25">
      <c r="B1672" s="2"/>
      <c r="C1672" s="2"/>
      <c r="D1672" s="2"/>
      <c r="E1672" s="2"/>
      <c r="F1672" s="2"/>
      <c r="G1672" s="2"/>
      <c r="H1672" s="2"/>
      <c r="I1672" s="2"/>
      <c r="J1672" s="2"/>
      <c r="K1672" s="2"/>
      <c r="L1672" s="2"/>
    </row>
    <row r="1673" spans="2:12" ht="13.2" x14ac:dyDescent="0.25">
      <c r="B1673" s="2"/>
      <c r="C1673" s="2"/>
      <c r="D1673" s="2"/>
      <c r="E1673" s="2"/>
      <c r="F1673" s="2"/>
      <c r="G1673" s="2"/>
      <c r="H1673" s="2"/>
      <c r="I1673" s="2"/>
      <c r="J1673" s="2"/>
      <c r="K1673" s="2"/>
      <c r="L1673" s="2"/>
    </row>
    <row r="1674" spans="2:12" ht="13.2" x14ac:dyDescent="0.25">
      <c r="B1674" s="2"/>
      <c r="C1674" s="2"/>
      <c r="D1674" s="2"/>
      <c r="E1674" s="2"/>
      <c r="F1674" s="2"/>
      <c r="G1674" s="2"/>
      <c r="H1674" s="2"/>
      <c r="I1674" s="2"/>
      <c r="J1674" s="2"/>
      <c r="K1674" s="2"/>
      <c r="L1674" s="2"/>
    </row>
    <row r="1675" spans="2:12" ht="13.2" x14ac:dyDescent="0.25">
      <c r="B1675" s="2"/>
      <c r="C1675" s="2"/>
      <c r="D1675" s="2"/>
      <c r="E1675" s="2"/>
      <c r="F1675" s="2"/>
      <c r="G1675" s="2"/>
      <c r="H1675" s="2"/>
      <c r="I1675" s="2"/>
      <c r="J1675" s="2"/>
      <c r="K1675" s="2"/>
      <c r="L1675" s="2"/>
    </row>
    <row r="1676" spans="2:12" ht="13.2" x14ac:dyDescent="0.25">
      <c r="B1676" s="2"/>
      <c r="C1676" s="2"/>
      <c r="D1676" s="2"/>
      <c r="E1676" s="2"/>
      <c r="F1676" s="2"/>
      <c r="G1676" s="2"/>
      <c r="H1676" s="2"/>
      <c r="I1676" s="2"/>
      <c r="J1676" s="2"/>
      <c r="K1676" s="2"/>
      <c r="L1676" s="2"/>
    </row>
    <row r="1677" spans="2:12" ht="13.2" x14ac:dyDescent="0.25">
      <c r="B1677" s="2"/>
      <c r="C1677" s="2"/>
      <c r="D1677" s="2"/>
      <c r="E1677" s="2"/>
      <c r="F1677" s="2"/>
      <c r="G1677" s="2"/>
      <c r="H1677" s="2"/>
      <c r="I1677" s="2"/>
      <c r="J1677" s="2"/>
      <c r="K1677" s="2"/>
      <c r="L1677" s="2"/>
    </row>
    <row r="1678" spans="2:12" ht="13.2" x14ac:dyDescent="0.25">
      <c r="B1678" s="2"/>
      <c r="C1678" s="2"/>
      <c r="D1678" s="2"/>
      <c r="E1678" s="2"/>
      <c r="F1678" s="2"/>
      <c r="G1678" s="2"/>
      <c r="H1678" s="2"/>
      <c r="I1678" s="2"/>
      <c r="J1678" s="2"/>
      <c r="K1678" s="2"/>
      <c r="L1678" s="2"/>
    </row>
    <row r="1679" spans="2:12" ht="13.2" x14ac:dyDescent="0.25">
      <c r="B1679" s="2"/>
      <c r="C1679" s="2"/>
      <c r="D1679" s="2"/>
      <c r="E1679" s="2"/>
      <c r="F1679" s="2"/>
      <c r="G1679" s="2"/>
      <c r="H1679" s="2"/>
      <c r="I1679" s="2"/>
      <c r="J1679" s="2"/>
      <c r="K1679" s="2"/>
      <c r="L1679" s="2"/>
    </row>
    <row r="1680" spans="2:12" ht="13.2" x14ac:dyDescent="0.25">
      <c r="B1680" s="2"/>
      <c r="C1680" s="2"/>
      <c r="D1680" s="2"/>
      <c r="E1680" s="2"/>
      <c r="F1680" s="2"/>
      <c r="G1680" s="2"/>
      <c r="H1680" s="2"/>
      <c r="I1680" s="2"/>
      <c r="J1680" s="2"/>
      <c r="K1680" s="2"/>
      <c r="L1680" s="2"/>
    </row>
    <row r="1681" spans="2:12" ht="13.2" x14ac:dyDescent="0.25">
      <c r="B1681" s="2"/>
      <c r="C1681" s="2"/>
      <c r="D1681" s="2"/>
      <c r="E1681" s="2"/>
      <c r="F1681" s="2"/>
      <c r="G1681" s="2"/>
      <c r="H1681" s="2"/>
      <c r="I1681" s="2"/>
      <c r="J1681" s="2"/>
      <c r="K1681" s="2"/>
      <c r="L1681" s="2"/>
    </row>
    <row r="1682" spans="2:12" ht="13.2" x14ac:dyDescent="0.25">
      <c r="B1682" s="2"/>
      <c r="C1682" s="2"/>
      <c r="D1682" s="2"/>
      <c r="E1682" s="2"/>
      <c r="F1682" s="2"/>
      <c r="G1682" s="2"/>
      <c r="H1682" s="2"/>
      <c r="I1682" s="2"/>
      <c r="J1682" s="2"/>
      <c r="K1682" s="2"/>
      <c r="L1682" s="2"/>
    </row>
    <row r="1683" spans="2:12" ht="13.2" x14ac:dyDescent="0.25">
      <c r="B1683" s="2"/>
      <c r="C1683" s="2"/>
      <c r="D1683" s="2"/>
      <c r="E1683" s="2"/>
      <c r="F1683" s="2"/>
      <c r="G1683" s="2"/>
      <c r="H1683" s="2"/>
      <c r="I1683" s="2"/>
      <c r="J1683" s="2"/>
      <c r="K1683" s="2"/>
      <c r="L1683" s="2"/>
    </row>
    <row r="1684" spans="2:12" ht="13.2" x14ac:dyDescent="0.25">
      <c r="B1684" s="2"/>
      <c r="C1684" s="2"/>
      <c r="D1684" s="2"/>
      <c r="E1684" s="2"/>
      <c r="F1684" s="2"/>
      <c r="G1684" s="2"/>
      <c r="H1684" s="2"/>
      <c r="I1684" s="2"/>
      <c r="J1684" s="2"/>
      <c r="K1684" s="2"/>
      <c r="L1684" s="2"/>
    </row>
    <row r="1685" spans="2:12" ht="13.2" x14ac:dyDescent="0.25">
      <c r="B1685" s="2"/>
      <c r="C1685" s="2"/>
      <c r="D1685" s="2"/>
      <c r="E1685" s="2"/>
      <c r="F1685" s="2"/>
      <c r="G1685" s="2"/>
      <c r="H1685" s="2"/>
      <c r="I1685" s="2"/>
      <c r="J1685" s="2"/>
      <c r="K1685" s="2"/>
      <c r="L1685" s="2"/>
    </row>
    <row r="1686" spans="2:12" ht="13.2" x14ac:dyDescent="0.25">
      <c r="B1686" s="2"/>
      <c r="C1686" s="2"/>
      <c r="D1686" s="2"/>
      <c r="E1686" s="2"/>
      <c r="F1686" s="2"/>
      <c r="G1686" s="2"/>
      <c r="H1686" s="2"/>
      <c r="I1686" s="2"/>
      <c r="J1686" s="2"/>
      <c r="K1686" s="2"/>
      <c r="L1686" s="2"/>
    </row>
    <row r="1687" spans="2:12" ht="13.2" x14ac:dyDescent="0.25">
      <c r="B1687" s="2"/>
      <c r="C1687" s="2"/>
      <c r="D1687" s="2"/>
      <c r="E1687" s="2"/>
      <c r="F1687" s="2"/>
      <c r="G1687" s="2"/>
      <c r="H1687" s="2"/>
      <c r="I1687" s="2"/>
      <c r="J1687" s="2"/>
      <c r="K1687" s="2"/>
      <c r="L1687" s="2"/>
    </row>
    <row r="1688" spans="2:12" ht="13.2" x14ac:dyDescent="0.25">
      <c r="B1688" s="2"/>
      <c r="C1688" s="2"/>
      <c r="D1688" s="2"/>
      <c r="E1688" s="2"/>
      <c r="F1688" s="2"/>
      <c r="G1688" s="2"/>
      <c r="H1688" s="2"/>
      <c r="I1688" s="2"/>
      <c r="J1688" s="2"/>
      <c r="K1688" s="2"/>
      <c r="L1688" s="2"/>
    </row>
    <row r="1689" spans="2:12" ht="13.2" x14ac:dyDescent="0.25">
      <c r="B1689" s="2"/>
      <c r="C1689" s="2"/>
      <c r="D1689" s="2"/>
      <c r="E1689" s="2"/>
      <c r="F1689" s="2"/>
      <c r="G1689" s="2"/>
      <c r="H1689" s="2"/>
      <c r="I1689" s="2"/>
      <c r="J1689" s="2"/>
      <c r="K1689" s="2"/>
      <c r="L1689" s="2"/>
    </row>
    <row r="1690" spans="2:12" ht="13.2" x14ac:dyDescent="0.25">
      <c r="B1690" s="2"/>
      <c r="C1690" s="2"/>
      <c r="D1690" s="2"/>
      <c r="E1690" s="2"/>
      <c r="F1690" s="2"/>
      <c r="G1690" s="2"/>
      <c r="H1690" s="2"/>
      <c r="I1690" s="2"/>
      <c r="J1690" s="2"/>
      <c r="K1690" s="2"/>
      <c r="L1690" s="2"/>
    </row>
    <row r="1691" spans="2:12" ht="13.2" x14ac:dyDescent="0.25">
      <c r="B1691" s="2"/>
      <c r="C1691" s="2"/>
      <c r="D1691" s="2"/>
      <c r="E1691" s="2"/>
      <c r="F1691" s="2"/>
      <c r="G1691" s="2"/>
      <c r="H1691" s="2"/>
      <c r="I1691" s="2"/>
      <c r="J1691" s="2"/>
      <c r="K1691" s="2"/>
      <c r="L1691" s="2"/>
    </row>
    <row r="1692" spans="2:12" ht="13.2" x14ac:dyDescent="0.25">
      <c r="B1692" s="2"/>
      <c r="C1692" s="2"/>
      <c r="D1692" s="2"/>
      <c r="E1692" s="2"/>
      <c r="F1692" s="2"/>
      <c r="G1692" s="2"/>
      <c r="H1692" s="2"/>
      <c r="I1692" s="2"/>
      <c r="J1692" s="2"/>
      <c r="K1692" s="2"/>
      <c r="L1692" s="2"/>
    </row>
    <row r="1693" spans="2:12" ht="13.2" x14ac:dyDescent="0.25">
      <c r="B1693" s="2"/>
      <c r="C1693" s="2"/>
      <c r="D1693" s="2"/>
      <c r="E1693" s="2"/>
      <c r="F1693" s="2"/>
      <c r="G1693" s="2"/>
      <c r="H1693" s="2"/>
      <c r="I1693" s="2"/>
      <c r="J1693" s="2"/>
      <c r="K1693" s="2"/>
      <c r="L1693" s="2"/>
    </row>
    <row r="1694" spans="2:12" ht="13.2" x14ac:dyDescent="0.25">
      <c r="B1694" s="2"/>
      <c r="C1694" s="2"/>
      <c r="D1694" s="2"/>
      <c r="E1694" s="2"/>
      <c r="F1694" s="2"/>
      <c r="G1694" s="2"/>
      <c r="H1694" s="2"/>
      <c r="I1694" s="2"/>
      <c r="J1694" s="2"/>
      <c r="K1694" s="2"/>
      <c r="L1694" s="2"/>
    </row>
    <row r="1695" spans="2:12" ht="13.2" x14ac:dyDescent="0.25">
      <c r="B1695" s="2"/>
      <c r="C1695" s="2"/>
      <c r="D1695" s="2"/>
      <c r="E1695" s="2"/>
      <c r="F1695" s="2"/>
      <c r="G1695" s="2"/>
      <c r="H1695" s="2"/>
      <c r="I1695" s="2"/>
      <c r="J1695" s="2"/>
      <c r="K1695" s="2"/>
      <c r="L1695" s="2"/>
    </row>
    <row r="1696" spans="2:12" ht="13.2" x14ac:dyDescent="0.25">
      <c r="B1696" s="2"/>
      <c r="C1696" s="2"/>
      <c r="D1696" s="2"/>
      <c r="E1696" s="2"/>
      <c r="F1696" s="2"/>
      <c r="G1696" s="2"/>
      <c r="H1696" s="2"/>
      <c r="I1696" s="2"/>
      <c r="J1696" s="2"/>
      <c r="K1696" s="2"/>
      <c r="L1696" s="2"/>
    </row>
    <row r="1697" spans="2:12" ht="13.2" x14ac:dyDescent="0.25">
      <c r="B1697" s="2"/>
      <c r="C1697" s="2"/>
      <c r="D1697" s="2"/>
      <c r="E1697" s="2"/>
      <c r="F1697" s="2"/>
      <c r="G1697" s="2"/>
      <c r="H1697" s="2"/>
      <c r="I1697" s="2"/>
      <c r="J1697" s="2"/>
      <c r="K1697" s="2"/>
      <c r="L1697" s="2"/>
    </row>
    <row r="1698" spans="2:12" ht="13.2" x14ac:dyDescent="0.25">
      <c r="B1698" s="2"/>
      <c r="C1698" s="2"/>
      <c r="D1698" s="2"/>
      <c r="E1698" s="2"/>
      <c r="F1698" s="2"/>
      <c r="G1698" s="2"/>
      <c r="H1698" s="2"/>
      <c r="I1698" s="2"/>
      <c r="J1698" s="2"/>
      <c r="K1698" s="2"/>
      <c r="L1698" s="2"/>
    </row>
    <row r="1699" spans="2:12" ht="13.2" x14ac:dyDescent="0.25">
      <c r="B1699" s="2"/>
      <c r="C1699" s="2"/>
      <c r="D1699" s="2"/>
      <c r="E1699" s="2"/>
      <c r="F1699" s="2"/>
      <c r="G1699" s="2"/>
      <c r="H1699" s="2"/>
      <c r="I1699" s="2"/>
      <c r="J1699" s="2"/>
      <c r="K1699" s="2"/>
      <c r="L1699" s="2"/>
    </row>
    <row r="1700" spans="2:12" ht="13.2" x14ac:dyDescent="0.25">
      <c r="B1700" s="2"/>
      <c r="C1700" s="2"/>
      <c r="D1700" s="2"/>
      <c r="E1700" s="2"/>
      <c r="F1700" s="2"/>
      <c r="G1700" s="2"/>
      <c r="H1700" s="2"/>
      <c r="I1700" s="2"/>
      <c r="J1700" s="2"/>
      <c r="K1700" s="2"/>
      <c r="L1700" s="2"/>
    </row>
    <row r="1701" spans="2:12" ht="13.2" x14ac:dyDescent="0.25">
      <c r="B1701" s="2"/>
      <c r="C1701" s="2"/>
      <c r="D1701" s="2"/>
      <c r="E1701" s="2"/>
      <c r="F1701" s="2"/>
      <c r="G1701" s="2"/>
      <c r="H1701" s="2"/>
      <c r="I1701" s="2"/>
      <c r="J1701" s="2"/>
      <c r="K1701" s="2"/>
      <c r="L1701" s="2"/>
    </row>
    <row r="1702" spans="2:12" ht="13.2" x14ac:dyDescent="0.25">
      <c r="B1702" s="2"/>
      <c r="C1702" s="2"/>
      <c r="D1702" s="2"/>
      <c r="E1702" s="2"/>
      <c r="F1702" s="2"/>
      <c r="G1702" s="2"/>
      <c r="H1702" s="2"/>
      <c r="I1702" s="2"/>
      <c r="J1702" s="2"/>
      <c r="K1702" s="2"/>
      <c r="L1702" s="2"/>
    </row>
    <row r="1703" spans="2:12" ht="13.2" x14ac:dyDescent="0.25">
      <c r="B1703" s="2"/>
      <c r="C1703" s="2"/>
      <c r="D1703" s="2"/>
      <c r="E1703" s="2"/>
      <c r="F1703" s="2"/>
      <c r="G1703" s="2"/>
      <c r="H1703" s="2"/>
      <c r="I1703" s="2"/>
      <c r="J1703" s="2"/>
      <c r="K1703" s="2"/>
      <c r="L1703" s="2"/>
    </row>
    <row r="1704" spans="2:12" ht="13.2" x14ac:dyDescent="0.25">
      <c r="B1704" s="2"/>
      <c r="C1704" s="2"/>
      <c r="D1704" s="2"/>
      <c r="E1704" s="2"/>
      <c r="F1704" s="2"/>
      <c r="G1704" s="2"/>
      <c r="H1704" s="2"/>
      <c r="I1704" s="2"/>
      <c r="J1704" s="2"/>
      <c r="K1704" s="2"/>
      <c r="L1704" s="2"/>
    </row>
    <row r="1705" spans="2:12" ht="13.2" x14ac:dyDescent="0.25">
      <c r="B1705" s="2"/>
      <c r="C1705" s="2"/>
      <c r="D1705" s="2"/>
      <c r="E1705" s="2"/>
      <c r="F1705" s="2"/>
      <c r="G1705" s="2"/>
      <c r="H1705" s="2"/>
      <c r="I1705" s="2"/>
      <c r="J1705" s="2"/>
      <c r="K1705" s="2"/>
      <c r="L1705" s="2"/>
    </row>
    <row r="1706" spans="2:12" ht="13.2" x14ac:dyDescent="0.25">
      <c r="B1706" s="2"/>
      <c r="C1706" s="2"/>
      <c r="D1706" s="2"/>
      <c r="E1706" s="2"/>
      <c r="F1706" s="2"/>
      <c r="G1706" s="2"/>
      <c r="H1706" s="2"/>
      <c r="I1706" s="2"/>
      <c r="J1706" s="2"/>
      <c r="K1706" s="2"/>
      <c r="L1706" s="2"/>
    </row>
    <row r="1707" spans="2:12" ht="13.2" x14ac:dyDescent="0.25">
      <c r="B1707" s="2"/>
      <c r="C1707" s="2"/>
      <c r="D1707" s="2"/>
      <c r="E1707" s="2"/>
      <c r="F1707" s="2"/>
      <c r="G1707" s="2"/>
      <c r="H1707" s="2"/>
      <c r="I1707" s="2"/>
      <c r="J1707" s="2"/>
      <c r="K1707" s="2"/>
      <c r="L1707" s="2"/>
    </row>
    <row r="1708" spans="2:12" ht="13.2" x14ac:dyDescent="0.25">
      <c r="B1708" s="2"/>
      <c r="C1708" s="2"/>
      <c r="D1708" s="2"/>
      <c r="E1708" s="2"/>
      <c r="F1708" s="2"/>
      <c r="G1708" s="2"/>
      <c r="H1708" s="2"/>
      <c r="I1708" s="2"/>
      <c r="J1708" s="2"/>
      <c r="K1708" s="2"/>
      <c r="L1708" s="2"/>
    </row>
    <row r="1709" spans="2:12" ht="13.2" x14ac:dyDescent="0.25">
      <c r="B1709" s="2"/>
      <c r="C1709" s="2"/>
      <c r="D1709" s="2"/>
      <c r="E1709" s="2"/>
      <c r="F1709" s="2"/>
      <c r="G1709" s="2"/>
      <c r="H1709" s="2"/>
      <c r="I1709" s="2"/>
      <c r="J1709" s="2"/>
      <c r="K1709" s="2"/>
      <c r="L1709" s="2"/>
    </row>
    <row r="1710" spans="2:12" ht="13.2" x14ac:dyDescent="0.25">
      <c r="B1710" s="2"/>
      <c r="C1710" s="2"/>
      <c r="D1710" s="2"/>
      <c r="E1710" s="2"/>
      <c r="F1710" s="2"/>
      <c r="G1710" s="2"/>
      <c r="H1710" s="2"/>
      <c r="I1710" s="2"/>
      <c r="J1710" s="2"/>
      <c r="K1710" s="2"/>
      <c r="L1710" s="2"/>
    </row>
    <row r="1711" spans="2:12" ht="13.2" x14ac:dyDescent="0.25">
      <c r="B1711" s="2"/>
      <c r="C1711" s="2"/>
      <c r="D1711" s="2"/>
      <c r="E1711" s="2"/>
      <c r="F1711" s="2"/>
      <c r="G1711" s="2"/>
      <c r="H1711" s="2"/>
      <c r="I1711" s="2"/>
      <c r="J1711" s="2"/>
      <c r="K1711" s="2"/>
      <c r="L1711" s="2"/>
    </row>
    <row r="1712" spans="2:12" ht="13.2" x14ac:dyDescent="0.25">
      <c r="B1712" s="2"/>
      <c r="C1712" s="2"/>
      <c r="D1712" s="2"/>
      <c r="E1712" s="2"/>
      <c r="F1712" s="2"/>
      <c r="G1712" s="2"/>
      <c r="H1712" s="2"/>
      <c r="I1712" s="2"/>
      <c r="J1712" s="2"/>
      <c r="K1712" s="2"/>
      <c r="L1712" s="2"/>
    </row>
    <row r="1713" spans="2:12" ht="13.2" x14ac:dyDescent="0.25">
      <c r="B1713" s="2"/>
      <c r="C1713" s="2"/>
      <c r="D1713" s="2"/>
      <c r="E1713" s="2"/>
      <c r="F1713" s="2"/>
      <c r="G1713" s="2"/>
      <c r="H1713" s="2"/>
      <c r="I1713" s="2"/>
      <c r="J1713" s="2"/>
      <c r="K1713" s="2"/>
      <c r="L1713" s="2"/>
    </row>
    <row r="1714" spans="2:12" ht="13.2" x14ac:dyDescent="0.25">
      <c r="B1714" s="2"/>
      <c r="C1714" s="2"/>
      <c r="D1714" s="2"/>
      <c r="E1714" s="2"/>
      <c r="F1714" s="2"/>
      <c r="G1714" s="2"/>
      <c r="H1714" s="2"/>
      <c r="I1714" s="2"/>
      <c r="J1714" s="2"/>
      <c r="K1714" s="2"/>
      <c r="L1714" s="2"/>
    </row>
    <row r="1715" spans="2:12" ht="13.2" x14ac:dyDescent="0.25">
      <c r="B1715" s="2"/>
      <c r="C1715" s="2"/>
      <c r="D1715" s="2"/>
      <c r="E1715" s="2"/>
      <c r="F1715" s="2"/>
      <c r="G1715" s="2"/>
      <c r="H1715" s="2"/>
      <c r="I1715" s="2"/>
      <c r="J1715" s="2"/>
      <c r="K1715" s="2"/>
      <c r="L1715" s="2"/>
    </row>
    <row r="1716" spans="2:12" ht="13.2" x14ac:dyDescent="0.25">
      <c r="B1716" s="2"/>
      <c r="C1716" s="2"/>
      <c r="D1716" s="2"/>
      <c r="E1716" s="2"/>
      <c r="F1716" s="2"/>
      <c r="G1716" s="2"/>
      <c r="H1716" s="2"/>
      <c r="I1716" s="2"/>
      <c r="J1716" s="2"/>
      <c r="K1716" s="2"/>
      <c r="L1716" s="2"/>
    </row>
    <row r="1717" spans="2:12" ht="13.2" x14ac:dyDescent="0.25">
      <c r="B1717" s="2"/>
      <c r="C1717" s="2"/>
      <c r="D1717" s="2"/>
      <c r="E1717" s="2"/>
      <c r="F1717" s="2"/>
      <c r="G1717" s="2"/>
      <c r="H1717" s="2"/>
      <c r="I1717" s="2"/>
      <c r="J1717" s="2"/>
      <c r="K1717" s="2"/>
      <c r="L1717" s="2"/>
    </row>
    <row r="1718" spans="2:12" ht="13.2" x14ac:dyDescent="0.25">
      <c r="B1718" s="2"/>
      <c r="C1718" s="2"/>
      <c r="D1718" s="2"/>
      <c r="E1718" s="2"/>
      <c r="F1718" s="2"/>
      <c r="G1718" s="2"/>
      <c r="H1718" s="2"/>
      <c r="I1718" s="2"/>
      <c r="J1718" s="2"/>
      <c r="K1718" s="2"/>
      <c r="L1718" s="2"/>
    </row>
    <row r="1719" spans="2:12" ht="13.2" x14ac:dyDescent="0.25">
      <c r="B1719" s="2"/>
      <c r="C1719" s="2"/>
      <c r="D1719" s="2"/>
      <c r="E1719" s="2"/>
      <c r="F1719" s="2"/>
      <c r="G1719" s="2"/>
      <c r="H1719" s="2"/>
      <c r="I1719" s="2"/>
      <c r="J1719" s="2"/>
      <c r="K1719" s="2"/>
      <c r="L1719" s="2"/>
    </row>
    <row r="1720" spans="2:12" ht="13.2" x14ac:dyDescent="0.25">
      <c r="B1720" s="2"/>
      <c r="C1720" s="2"/>
      <c r="D1720" s="2"/>
      <c r="E1720" s="2"/>
      <c r="F1720" s="2"/>
      <c r="G1720" s="2"/>
      <c r="H1720" s="2"/>
      <c r="I1720" s="2"/>
      <c r="J1720" s="2"/>
      <c r="K1720" s="2"/>
      <c r="L1720" s="2"/>
    </row>
    <row r="1721" spans="2:12" ht="13.2" x14ac:dyDescent="0.25">
      <c r="B1721" s="2"/>
      <c r="C1721" s="2"/>
      <c r="D1721" s="2"/>
      <c r="E1721" s="2"/>
      <c r="F1721" s="2"/>
      <c r="G1721" s="2"/>
      <c r="H1721" s="2"/>
      <c r="I1721" s="2"/>
      <c r="J1721" s="2"/>
      <c r="K1721" s="2"/>
      <c r="L1721" s="2"/>
    </row>
    <row r="1722" spans="2:12" ht="13.2" x14ac:dyDescent="0.25">
      <c r="B1722" s="2"/>
      <c r="C1722" s="2"/>
      <c r="D1722" s="2"/>
      <c r="E1722" s="2"/>
      <c r="F1722" s="2"/>
      <c r="G1722" s="2"/>
      <c r="H1722" s="2"/>
      <c r="I1722" s="2"/>
      <c r="J1722" s="2"/>
      <c r="K1722" s="2"/>
      <c r="L1722" s="2"/>
    </row>
    <row r="1723" spans="2:12" ht="13.2" x14ac:dyDescent="0.25">
      <c r="B1723" s="2"/>
      <c r="C1723" s="2"/>
      <c r="D1723" s="2"/>
      <c r="E1723" s="2"/>
      <c r="F1723" s="2"/>
      <c r="G1723" s="2"/>
      <c r="H1723" s="2"/>
      <c r="I1723" s="2"/>
      <c r="J1723" s="2"/>
      <c r="K1723" s="2"/>
      <c r="L1723" s="2"/>
    </row>
    <row r="1724" spans="2:12" ht="13.2" x14ac:dyDescent="0.25">
      <c r="B1724" s="2"/>
      <c r="C1724" s="2"/>
      <c r="D1724" s="2"/>
      <c r="E1724" s="2"/>
      <c r="F1724" s="2"/>
      <c r="G1724" s="2"/>
      <c r="H1724" s="2"/>
      <c r="I1724" s="2"/>
      <c r="J1724" s="2"/>
      <c r="K1724" s="2"/>
      <c r="L1724" s="2"/>
    </row>
    <row r="1725" spans="2:12" ht="13.2" x14ac:dyDescent="0.25">
      <c r="B1725" s="2"/>
      <c r="C1725" s="2"/>
      <c r="D1725" s="2"/>
      <c r="E1725" s="2"/>
      <c r="F1725" s="2"/>
      <c r="G1725" s="2"/>
      <c r="H1725" s="2"/>
      <c r="I1725" s="2"/>
      <c r="J1725" s="2"/>
      <c r="K1725" s="2"/>
      <c r="L1725" s="2"/>
    </row>
    <row r="1726" spans="2:12" ht="13.2" x14ac:dyDescent="0.25">
      <c r="B1726" s="2"/>
      <c r="C1726" s="2"/>
      <c r="D1726" s="2"/>
      <c r="E1726" s="2"/>
      <c r="F1726" s="2"/>
      <c r="G1726" s="2"/>
      <c r="H1726" s="2"/>
      <c r="I1726" s="2"/>
      <c r="J1726" s="2"/>
      <c r="K1726" s="2"/>
      <c r="L1726" s="2"/>
    </row>
    <row r="1727" spans="2:12" ht="13.2" x14ac:dyDescent="0.25">
      <c r="B1727" s="2"/>
      <c r="C1727" s="2"/>
      <c r="D1727" s="2"/>
      <c r="E1727" s="2"/>
      <c r="F1727" s="2"/>
      <c r="G1727" s="2"/>
      <c r="H1727" s="2"/>
      <c r="I1727" s="2"/>
      <c r="J1727" s="2"/>
      <c r="K1727" s="2"/>
      <c r="L1727" s="2"/>
    </row>
    <row r="1728" spans="2:12" ht="13.2" x14ac:dyDescent="0.25">
      <c r="B1728" s="2"/>
      <c r="C1728" s="2"/>
      <c r="D1728" s="2"/>
      <c r="E1728" s="2"/>
      <c r="F1728" s="2"/>
      <c r="G1728" s="2"/>
      <c r="H1728" s="2"/>
      <c r="I1728" s="2"/>
      <c r="J1728" s="2"/>
      <c r="K1728" s="2"/>
      <c r="L1728" s="2"/>
    </row>
    <row r="1729" spans="2:12" ht="13.2" x14ac:dyDescent="0.25">
      <c r="B1729" s="2"/>
      <c r="C1729" s="2"/>
      <c r="D1729" s="2"/>
      <c r="E1729" s="2"/>
      <c r="F1729" s="2"/>
      <c r="G1729" s="2"/>
      <c r="H1729" s="2"/>
      <c r="I1729" s="2"/>
      <c r="J1729" s="2"/>
      <c r="K1729" s="2"/>
      <c r="L1729" s="2"/>
    </row>
    <row r="1730" spans="2:12" ht="13.2" x14ac:dyDescent="0.25">
      <c r="B1730" s="2"/>
      <c r="C1730" s="2"/>
      <c r="D1730" s="2"/>
      <c r="E1730" s="2"/>
      <c r="F1730" s="2"/>
      <c r="G1730" s="2"/>
      <c r="H1730" s="2"/>
      <c r="I1730" s="2"/>
      <c r="J1730" s="2"/>
      <c r="K1730" s="2"/>
      <c r="L1730" s="2"/>
    </row>
    <row r="1731" spans="2:12" ht="13.2" x14ac:dyDescent="0.25">
      <c r="B1731" s="2"/>
      <c r="C1731" s="2"/>
      <c r="D1731" s="2"/>
      <c r="E1731" s="2"/>
      <c r="F1731" s="2"/>
      <c r="G1731" s="2"/>
      <c r="H1731" s="2"/>
      <c r="I1731" s="2"/>
      <c r="J1731" s="2"/>
      <c r="K1731" s="2"/>
      <c r="L1731" s="2"/>
    </row>
    <row r="1732" spans="2:12" ht="13.2" x14ac:dyDescent="0.25">
      <c r="B1732" s="2"/>
      <c r="C1732" s="2"/>
      <c r="D1732" s="2"/>
      <c r="E1732" s="2"/>
      <c r="F1732" s="2"/>
      <c r="G1732" s="2"/>
      <c r="H1732" s="2"/>
      <c r="I1732" s="2"/>
      <c r="J1732" s="2"/>
      <c r="K1732" s="2"/>
      <c r="L1732" s="2"/>
    </row>
    <row r="1733" spans="2:12" ht="13.2" x14ac:dyDescent="0.25">
      <c r="B1733" s="2"/>
      <c r="C1733" s="2"/>
      <c r="D1733" s="2"/>
      <c r="E1733" s="2"/>
      <c r="F1733" s="2"/>
      <c r="G1733" s="2"/>
      <c r="H1733" s="2"/>
      <c r="I1733" s="2"/>
      <c r="J1733" s="2"/>
      <c r="K1733" s="2"/>
      <c r="L1733" s="2"/>
    </row>
    <row r="1734" spans="2:12" ht="13.2" x14ac:dyDescent="0.25">
      <c r="B1734" s="2"/>
      <c r="C1734" s="2"/>
      <c r="D1734" s="2"/>
      <c r="E1734" s="2"/>
      <c r="F1734" s="2"/>
      <c r="G1734" s="2"/>
      <c r="H1734" s="2"/>
      <c r="I1734" s="2"/>
      <c r="J1734" s="2"/>
      <c r="K1734" s="2"/>
      <c r="L1734" s="2"/>
    </row>
    <row r="1735" spans="2:12" ht="13.2" x14ac:dyDescent="0.25">
      <c r="B1735" s="2"/>
      <c r="C1735" s="2"/>
      <c r="D1735" s="2"/>
      <c r="E1735" s="2"/>
      <c r="F1735" s="2"/>
      <c r="G1735" s="2"/>
      <c r="H1735" s="2"/>
      <c r="I1735" s="2"/>
      <c r="J1735" s="2"/>
      <c r="K1735" s="2"/>
      <c r="L1735" s="2"/>
    </row>
    <row r="1736" spans="2:12" ht="13.2" x14ac:dyDescent="0.25">
      <c r="B1736" s="2"/>
      <c r="C1736" s="2"/>
      <c r="D1736" s="2"/>
      <c r="E1736" s="2"/>
      <c r="F1736" s="2"/>
      <c r="G1736" s="2"/>
      <c r="H1736" s="2"/>
      <c r="I1736" s="2"/>
      <c r="J1736" s="2"/>
      <c r="K1736" s="2"/>
      <c r="L1736" s="2"/>
    </row>
    <row r="1737" spans="2:12" ht="13.2" x14ac:dyDescent="0.25">
      <c r="B1737" s="2"/>
      <c r="C1737" s="2"/>
      <c r="D1737" s="2"/>
      <c r="E1737" s="2"/>
      <c r="F1737" s="2"/>
      <c r="G1737" s="2"/>
      <c r="H1737" s="2"/>
      <c r="I1737" s="2"/>
      <c r="J1737" s="2"/>
      <c r="K1737" s="2"/>
      <c r="L1737" s="2"/>
    </row>
    <row r="1738" spans="2:12" ht="13.2" x14ac:dyDescent="0.25">
      <c r="B1738" s="2"/>
      <c r="C1738" s="2"/>
      <c r="D1738" s="2"/>
      <c r="E1738" s="2"/>
      <c r="F1738" s="2"/>
      <c r="G1738" s="2"/>
      <c r="H1738" s="2"/>
      <c r="I1738" s="2"/>
      <c r="J1738" s="2"/>
      <c r="K1738" s="2"/>
      <c r="L1738" s="2"/>
    </row>
    <row r="1739" spans="2:12" ht="13.2" x14ac:dyDescent="0.25">
      <c r="B1739" s="2"/>
      <c r="C1739" s="2"/>
      <c r="D1739" s="2"/>
      <c r="E1739" s="2"/>
      <c r="F1739" s="2"/>
      <c r="G1739" s="2"/>
      <c r="H1739" s="2"/>
      <c r="I1739" s="2"/>
      <c r="J1739" s="2"/>
      <c r="K1739" s="2"/>
      <c r="L1739" s="2"/>
    </row>
    <row r="1740" spans="2:12" ht="13.2" x14ac:dyDescent="0.25">
      <c r="B1740" s="2"/>
      <c r="C1740" s="2"/>
      <c r="D1740" s="2"/>
      <c r="E1740" s="2"/>
      <c r="F1740" s="2"/>
      <c r="G1740" s="2"/>
      <c r="H1740" s="2"/>
      <c r="I1740" s="2"/>
      <c r="J1740" s="2"/>
      <c r="K1740" s="2"/>
      <c r="L1740" s="2"/>
    </row>
    <row r="1741" spans="2:12" ht="13.2" x14ac:dyDescent="0.25">
      <c r="B1741" s="2"/>
      <c r="C1741" s="2"/>
      <c r="D1741" s="2"/>
      <c r="E1741" s="2"/>
      <c r="F1741" s="2"/>
      <c r="G1741" s="2"/>
      <c r="H1741" s="2"/>
      <c r="I1741" s="2"/>
      <c r="J1741" s="2"/>
      <c r="K1741" s="2"/>
      <c r="L1741" s="2"/>
    </row>
    <row r="1742" spans="2:12" ht="13.2" x14ac:dyDescent="0.25">
      <c r="B1742" s="2"/>
      <c r="C1742" s="2"/>
      <c r="D1742" s="2"/>
      <c r="E1742" s="2"/>
      <c r="F1742" s="2"/>
      <c r="G1742" s="2"/>
      <c r="H1742" s="2"/>
      <c r="I1742" s="2"/>
      <c r="J1742" s="2"/>
      <c r="K1742" s="2"/>
      <c r="L1742" s="2"/>
    </row>
    <row r="1743" spans="2:12" ht="13.2" x14ac:dyDescent="0.25">
      <c r="B1743" s="2"/>
      <c r="C1743" s="2"/>
      <c r="D1743" s="2"/>
      <c r="E1743" s="2"/>
      <c r="F1743" s="2"/>
      <c r="G1743" s="2"/>
      <c r="H1743" s="2"/>
      <c r="I1743" s="2"/>
      <c r="J1743" s="2"/>
      <c r="K1743" s="2"/>
      <c r="L1743" s="2"/>
    </row>
    <row r="1744" spans="2:12" ht="13.2" x14ac:dyDescent="0.25">
      <c r="B1744" s="2"/>
      <c r="C1744" s="2"/>
      <c r="D1744" s="2"/>
      <c r="E1744" s="2"/>
      <c r="F1744" s="2"/>
      <c r="G1744" s="2"/>
      <c r="H1744" s="2"/>
      <c r="I1744" s="2"/>
      <c r="J1744" s="2"/>
      <c r="K1744" s="2"/>
      <c r="L1744" s="2"/>
    </row>
    <row r="1745" spans="2:12" ht="13.2" x14ac:dyDescent="0.25">
      <c r="B1745" s="2"/>
      <c r="C1745" s="2"/>
      <c r="D1745" s="2"/>
      <c r="E1745" s="2"/>
      <c r="F1745" s="2"/>
      <c r="G1745" s="2"/>
      <c r="H1745" s="2"/>
      <c r="I1745" s="2"/>
      <c r="J1745" s="2"/>
      <c r="K1745" s="2"/>
      <c r="L1745" s="2"/>
    </row>
    <row r="1746" spans="2:12" ht="13.2" x14ac:dyDescent="0.25">
      <c r="B1746" s="2"/>
      <c r="C1746" s="2"/>
      <c r="D1746" s="2"/>
      <c r="E1746" s="2"/>
      <c r="F1746" s="2"/>
      <c r="G1746" s="2"/>
      <c r="H1746" s="2"/>
      <c r="I1746" s="2"/>
      <c r="J1746" s="2"/>
      <c r="K1746" s="2"/>
      <c r="L1746" s="2"/>
    </row>
    <row r="1747" spans="2:12" ht="13.2" x14ac:dyDescent="0.25">
      <c r="B1747" s="2"/>
      <c r="C1747" s="2"/>
      <c r="D1747" s="2"/>
      <c r="E1747" s="2"/>
      <c r="F1747" s="2"/>
      <c r="G1747" s="2"/>
      <c r="H1747" s="2"/>
      <c r="I1747" s="2"/>
      <c r="J1747" s="2"/>
      <c r="K1747" s="2"/>
      <c r="L1747" s="2"/>
    </row>
    <row r="1748" spans="2:12" ht="13.2" x14ac:dyDescent="0.25">
      <c r="B1748" s="2"/>
      <c r="C1748" s="2"/>
      <c r="D1748" s="2"/>
      <c r="E1748" s="2"/>
      <c r="F1748" s="2"/>
      <c r="G1748" s="2"/>
      <c r="H1748" s="2"/>
      <c r="I1748" s="2"/>
      <c r="J1748" s="2"/>
      <c r="K1748" s="2"/>
      <c r="L1748" s="2"/>
    </row>
    <row r="1749" spans="2:12" ht="13.2" x14ac:dyDescent="0.25">
      <c r="B1749" s="2"/>
      <c r="C1749" s="2"/>
      <c r="D1749" s="2"/>
      <c r="E1749" s="2"/>
      <c r="F1749" s="2"/>
      <c r="G1749" s="2"/>
      <c r="H1749" s="2"/>
      <c r="I1749" s="2"/>
      <c r="J1749" s="2"/>
      <c r="K1749" s="2"/>
      <c r="L1749" s="2"/>
    </row>
    <row r="1750" spans="2:12" ht="13.2" x14ac:dyDescent="0.25">
      <c r="B1750" s="2"/>
      <c r="C1750" s="2"/>
      <c r="D1750" s="2"/>
      <c r="E1750" s="2"/>
      <c r="F1750" s="2"/>
      <c r="G1750" s="2"/>
      <c r="H1750" s="2"/>
      <c r="I1750" s="2"/>
      <c r="J1750" s="2"/>
      <c r="K1750" s="2"/>
      <c r="L1750" s="2"/>
    </row>
    <row r="1751" spans="2:12" ht="13.2" x14ac:dyDescent="0.25">
      <c r="B1751" s="2"/>
      <c r="C1751" s="2"/>
      <c r="D1751" s="2"/>
      <c r="E1751" s="2"/>
      <c r="F1751" s="2"/>
      <c r="G1751" s="2"/>
      <c r="H1751" s="2"/>
      <c r="I1751" s="2"/>
      <c r="J1751" s="2"/>
      <c r="K1751" s="2"/>
      <c r="L1751" s="2"/>
    </row>
    <row r="1752" spans="2:12" ht="13.2" x14ac:dyDescent="0.25">
      <c r="B1752" s="2"/>
      <c r="C1752" s="2"/>
      <c r="D1752" s="2"/>
      <c r="E1752" s="2"/>
      <c r="F1752" s="2"/>
      <c r="G1752" s="2"/>
      <c r="H1752" s="2"/>
      <c r="I1752" s="2"/>
      <c r="J1752" s="2"/>
      <c r="K1752" s="2"/>
      <c r="L1752" s="2"/>
    </row>
    <row r="1753" spans="2:12" ht="13.2" x14ac:dyDescent="0.25">
      <c r="B1753" s="2"/>
      <c r="C1753" s="2"/>
      <c r="D1753" s="2"/>
      <c r="E1753" s="2"/>
      <c r="F1753" s="2"/>
      <c r="G1753" s="2"/>
      <c r="H1753" s="2"/>
      <c r="I1753" s="2"/>
      <c r="J1753" s="2"/>
      <c r="K1753" s="2"/>
      <c r="L1753" s="2"/>
    </row>
    <row r="1754" spans="2:12" ht="13.2" x14ac:dyDescent="0.25">
      <c r="B1754" s="2"/>
      <c r="C1754" s="2"/>
      <c r="D1754" s="2"/>
      <c r="E1754" s="2"/>
      <c r="F1754" s="2"/>
      <c r="G1754" s="2"/>
      <c r="H1754" s="2"/>
      <c r="I1754" s="2"/>
      <c r="J1754" s="2"/>
      <c r="K1754" s="2"/>
      <c r="L1754" s="2"/>
    </row>
    <row r="1755" spans="2:12" ht="13.2" x14ac:dyDescent="0.25">
      <c r="B1755" s="2"/>
      <c r="C1755" s="2"/>
      <c r="D1755" s="2"/>
      <c r="E1755" s="2"/>
      <c r="F1755" s="2"/>
      <c r="G1755" s="2"/>
      <c r="H1755" s="2"/>
      <c r="I1755" s="2"/>
      <c r="J1755" s="2"/>
      <c r="K1755" s="2"/>
      <c r="L1755" s="2"/>
    </row>
    <row r="1756" spans="2:12" ht="13.2" x14ac:dyDescent="0.25">
      <c r="B1756" s="2"/>
      <c r="C1756" s="2"/>
      <c r="D1756" s="2"/>
      <c r="E1756" s="2"/>
      <c r="F1756" s="2"/>
      <c r="G1756" s="2"/>
      <c r="H1756" s="2"/>
      <c r="I1756" s="2"/>
      <c r="J1756" s="2"/>
      <c r="K1756" s="2"/>
      <c r="L1756" s="2"/>
    </row>
    <row r="1757" spans="2:12" ht="13.2" x14ac:dyDescent="0.25">
      <c r="B1757" s="2"/>
      <c r="C1757" s="2"/>
      <c r="D1757" s="2"/>
      <c r="E1757" s="2"/>
      <c r="F1757" s="2"/>
      <c r="G1757" s="2"/>
      <c r="H1757" s="2"/>
      <c r="I1757" s="2"/>
      <c r="J1757" s="2"/>
      <c r="K1757" s="2"/>
      <c r="L1757" s="2"/>
    </row>
    <row r="1758" spans="2:12" ht="13.2" x14ac:dyDescent="0.25">
      <c r="B1758" s="2"/>
      <c r="C1758" s="2"/>
      <c r="D1758" s="2"/>
      <c r="E1758" s="2"/>
      <c r="F1758" s="2"/>
      <c r="G1758" s="2"/>
      <c r="H1758" s="2"/>
      <c r="I1758" s="2"/>
      <c r="J1758" s="2"/>
      <c r="K1758" s="2"/>
      <c r="L1758" s="2"/>
    </row>
    <row r="1759" spans="2:12" ht="13.2" x14ac:dyDescent="0.25">
      <c r="B1759" s="2"/>
      <c r="C1759" s="2"/>
      <c r="D1759" s="2"/>
      <c r="E1759" s="2"/>
      <c r="F1759" s="2"/>
      <c r="G1759" s="2"/>
      <c r="H1759" s="2"/>
      <c r="I1759" s="2"/>
      <c r="J1759" s="2"/>
      <c r="K1759" s="2"/>
      <c r="L1759" s="2"/>
    </row>
    <row r="1760" spans="2:12" ht="13.2" x14ac:dyDescent="0.25">
      <c r="B1760" s="2"/>
      <c r="C1760" s="2"/>
      <c r="D1760" s="2"/>
      <c r="E1760" s="2"/>
      <c r="F1760" s="2"/>
      <c r="G1760" s="2"/>
      <c r="H1760" s="2"/>
      <c r="I1760" s="2"/>
      <c r="J1760" s="2"/>
      <c r="K1760" s="2"/>
      <c r="L1760" s="2"/>
    </row>
    <row r="1761" spans="2:12" ht="13.2" x14ac:dyDescent="0.25">
      <c r="B1761" s="2"/>
      <c r="C1761" s="2"/>
      <c r="D1761" s="2"/>
      <c r="E1761" s="2"/>
      <c r="F1761" s="2"/>
      <c r="G1761" s="2"/>
      <c r="H1761" s="2"/>
      <c r="I1761" s="2"/>
      <c r="J1761" s="2"/>
      <c r="K1761" s="2"/>
      <c r="L1761" s="2"/>
    </row>
    <row r="1762" spans="2:12" ht="13.2" x14ac:dyDescent="0.25">
      <c r="B1762" s="2"/>
      <c r="C1762" s="2"/>
      <c r="D1762" s="2"/>
      <c r="E1762" s="2"/>
      <c r="F1762" s="2"/>
      <c r="G1762" s="2"/>
      <c r="H1762" s="2"/>
      <c r="I1762" s="2"/>
      <c r="J1762" s="2"/>
      <c r="K1762" s="2"/>
      <c r="L1762" s="2"/>
    </row>
    <row r="1763" spans="2:12" ht="13.2" x14ac:dyDescent="0.25">
      <c r="B1763" s="2"/>
      <c r="C1763" s="2"/>
      <c r="D1763" s="2"/>
      <c r="E1763" s="2"/>
      <c r="F1763" s="2"/>
      <c r="G1763" s="2"/>
      <c r="H1763" s="2"/>
      <c r="I1763" s="2"/>
      <c r="J1763" s="2"/>
      <c r="K1763" s="2"/>
      <c r="L1763" s="2"/>
    </row>
    <row r="1764" spans="2:12" ht="13.2" x14ac:dyDescent="0.25">
      <c r="B1764" s="2"/>
      <c r="C1764" s="2"/>
      <c r="D1764" s="2"/>
      <c r="E1764" s="2"/>
      <c r="F1764" s="2"/>
      <c r="G1764" s="2"/>
      <c r="H1764" s="2"/>
      <c r="I1764" s="2"/>
      <c r="J1764" s="2"/>
      <c r="K1764" s="2"/>
      <c r="L1764" s="2"/>
    </row>
    <row r="1765" spans="2:12" ht="13.2" x14ac:dyDescent="0.25">
      <c r="B1765" s="2"/>
      <c r="C1765" s="2"/>
      <c r="D1765" s="2"/>
      <c r="E1765" s="2"/>
      <c r="F1765" s="2"/>
      <c r="G1765" s="2"/>
      <c r="H1765" s="2"/>
      <c r="I1765" s="2"/>
      <c r="J1765" s="2"/>
      <c r="K1765" s="2"/>
      <c r="L1765" s="2"/>
    </row>
    <row r="1766" spans="2:12" ht="13.2" x14ac:dyDescent="0.25">
      <c r="B1766" s="2"/>
      <c r="C1766" s="2"/>
      <c r="D1766" s="2"/>
      <c r="E1766" s="2"/>
      <c r="F1766" s="2"/>
      <c r="G1766" s="2"/>
      <c r="H1766" s="2"/>
      <c r="I1766" s="2"/>
      <c r="J1766" s="2"/>
      <c r="K1766" s="2"/>
      <c r="L1766" s="2"/>
    </row>
    <row r="1767" spans="2:12" ht="13.2" x14ac:dyDescent="0.25">
      <c r="B1767" s="2"/>
      <c r="C1767" s="2"/>
      <c r="D1767" s="2"/>
      <c r="E1767" s="2"/>
      <c r="F1767" s="2"/>
      <c r="G1767" s="2"/>
      <c r="H1767" s="2"/>
      <c r="I1767" s="2"/>
      <c r="J1767" s="2"/>
      <c r="K1767" s="2"/>
      <c r="L1767" s="2"/>
    </row>
    <row r="1768" spans="2:12" ht="13.2" x14ac:dyDescent="0.25">
      <c r="B1768" s="2"/>
      <c r="C1768" s="2"/>
      <c r="D1768" s="2"/>
      <c r="E1768" s="2"/>
      <c r="F1768" s="2"/>
      <c r="G1768" s="2"/>
      <c r="H1768" s="2"/>
      <c r="I1768" s="2"/>
      <c r="J1768" s="2"/>
      <c r="K1768" s="2"/>
      <c r="L1768" s="2"/>
    </row>
    <row r="1769" spans="2:12" ht="13.2" x14ac:dyDescent="0.25">
      <c r="B1769" s="2"/>
      <c r="C1769" s="2"/>
      <c r="D1769" s="2"/>
      <c r="E1769" s="2"/>
      <c r="F1769" s="2"/>
      <c r="G1769" s="2"/>
      <c r="H1769" s="2"/>
      <c r="I1769" s="2"/>
      <c r="J1769" s="2"/>
      <c r="K1769" s="2"/>
      <c r="L1769" s="2"/>
    </row>
    <row r="1770" spans="2:12" ht="13.2" x14ac:dyDescent="0.25">
      <c r="B1770" s="2"/>
      <c r="C1770" s="2"/>
      <c r="D1770" s="2"/>
      <c r="E1770" s="2"/>
      <c r="F1770" s="2"/>
      <c r="G1770" s="2"/>
      <c r="H1770" s="2"/>
      <c r="I1770" s="2"/>
      <c r="J1770" s="2"/>
      <c r="K1770" s="2"/>
      <c r="L1770" s="2"/>
    </row>
    <row r="1771" spans="2:12" ht="13.2" x14ac:dyDescent="0.25">
      <c r="B1771" s="2"/>
      <c r="C1771" s="2"/>
      <c r="D1771" s="2"/>
      <c r="E1771" s="2"/>
      <c r="F1771" s="2"/>
      <c r="G1771" s="2"/>
      <c r="H1771" s="2"/>
      <c r="I1771" s="2"/>
      <c r="J1771" s="2"/>
      <c r="K1771" s="2"/>
      <c r="L1771" s="2"/>
    </row>
    <row r="1772" spans="2:12" ht="13.2" x14ac:dyDescent="0.25">
      <c r="B1772" s="2"/>
      <c r="C1772" s="2"/>
      <c r="D1772" s="2"/>
      <c r="E1772" s="2"/>
      <c r="F1772" s="2"/>
      <c r="G1772" s="2"/>
      <c r="H1772" s="2"/>
      <c r="I1772" s="2"/>
      <c r="J1772" s="2"/>
      <c r="K1772" s="2"/>
      <c r="L1772" s="2"/>
    </row>
    <row r="1773" spans="2:12" ht="13.2" x14ac:dyDescent="0.25">
      <c r="B1773" s="2"/>
      <c r="C1773" s="2"/>
      <c r="D1773" s="2"/>
      <c r="E1773" s="2"/>
      <c r="F1773" s="2"/>
      <c r="G1773" s="2"/>
      <c r="H1773" s="2"/>
      <c r="I1773" s="2"/>
      <c r="J1773" s="2"/>
      <c r="K1773" s="2"/>
      <c r="L1773" s="2"/>
    </row>
    <row r="1774" spans="2:12" ht="13.2" x14ac:dyDescent="0.25">
      <c r="B1774" s="2"/>
      <c r="C1774" s="2"/>
      <c r="D1774" s="2"/>
      <c r="E1774" s="2"/>
      <c r="F1774" s="2"/>
      <c r="G1774" s="2"/>
      <c r="H1774" s="2"/>
      <c r="I1774" s="2"/>
      <c r="J1774" s="2"/>
      <c r="K1774" s="2"/>
      <c r="L1774" s="2"/>
    </row>
    <row r="1775" spans="2:12" ht="13.2" x14ac:dyDescent="0.25">
      <c r="B1775" s="2"/>
      <c r="C1775" s="2"/>
      <c r="D1775" s="2"/>
      <c r="E1775" s="2"/>
      <c r="F1775" s="2"/>
      <c r="G1775" s="2"/>
      <c r="H1775" s="2"/>
      <c r="I1775" s="2"/>
      <c r="J1775" s="2"/>
      <c r="K1775" s="2"/>
      <c r="L1775" s="2"/>
    </row>
    <row r="1776" spans="2:12" ht="13.2" x14ac:dyDescent="0.25">
      <c r="B1776" s="2"/>
      <c r="C1776" s="2"/>
      <c r="D1776" s="2"/>
      <c r="E1776" s="2"/>
      <c r="F1776" s="2"/>
      <c r="G1776" s="2"/>
      <c r="H1776" s="2"/>
      <c r="I1776" s="2"/>
      <c r="J1776" s="2"/>
      <c r="K1776" s="2"/>
      <c r="L1776" s="2"/>
    </row>
    <row r="1777" spans="2:12" ht="13.2" x14ac:dyDescent="0.25">
      <c r="B1777" s="2"/>
      <c r="C1777" s="2"/>
      <c r="D1777" s="2"/>
      <c r="E1777" s="2"/>
      <c r="F1777" s="2"/>
      <c r="G1777" s="2"/>
      <c r="H1777" s="2"/>
      <c r="I1777" s="2"/>
      <c r="J1777" s="2"/>
      <c r="K1777" s="2"/>
      <c r="L1777" s="2"/>
    </row>
    <row r="1778" spans="2:12" ht="13.2" x14ac:dyDescent="0.25">
      <c r="B1778" s="2"/>
      <c r="C1778" s="2"/>
      <c r="D1778" s="2"/>
      <c r="E1778" s="2"/>
      <c r="F1778" s="2"/>
      <c r="G1778" s="2"/>
      <c r="H1778" s="2"/>
      <c r="I1778" s="2"/>
      <c r="J1778" s="2"/>
      <c r="K1778" s="2"/>
      <c r="L1778" s="2"/>
    </row>
    <row r="1779" spans="2:12" ht="13.2" x14ac:dyDescent="0.25">
      <c r="B1779" s="2"/>
      <c r="C1779" s="2"/>
      <c r="D1779" s="2"/>
      <c r="E1779" s="2"/>
      <c r="F1779" s="2"/>
      <c r="G1779" s="2"/>
      <c r="H1779" s="2"/>
      <c r="I1779" s="2"/>
      <c r="J1779" s="2"/>
      <c r="K1779" s="2"/>
      <c r="L1779" s="2"/>
    </row>
    <row r="1780" spans="2:12" ht="13.2" x14ac:dyDescent="0.25">
      <c r="B1780" s="2"/>
      <c r="C1780" s="2"/>
      <c r="D1780" s="2"/>
      <c r="E1780" s="2"/>
      <c r="F1780" s="2"/>
      <c r="G1780" s="2"/>
      <c r="H1780" s="2"/>
      <c r="I1780" s="2"/>
      <c r="J1780" s="2"/>
      <c r="K1780" s="2"/>
      <c r="L1780" s="2"/>
    </row>
    <row r="1781" spans="2:12" ht="13.2" x14ac:dyDescent="0.25">
      <c r="B1781" s="2"/>
      <c r="C1781" s="2"/>
      <c r="D1781" s="2"/>
      <c r="E1781" s="2"/>
      <c r="F1781" s="2"/>
      <c r="G1781" s="2"/>
      <c r="H1781" s="2"/>
      <c r="I1781" s="2"/>
      <c r="J1781" s="2"/>
      <c r="K1781" s="2"/>
      <c r="L1781" s="2"/>
    </row>
    <row r="1782" spans="2:12" ht="13.2" x14ac:dyDescent="0.25">
      <c r="B1782" s="2"/>
      <c r="C1782" s="2"/>
      <c r="D1782" s="2"/>
      <c r="E1782" s="2"/>
      <c r="F1782" s="2"/>
      <c r="G1782" s="2"/>
      <c r="H1782" s="2"/>
      <c r="I1782" s="2"/>
      <c r="J1782" s="2"/>
      <c r="K1782" s="2"/>
      <c r="L1782" s="2"/>
    </row>
    <row r="1783" spans="2:12" ht="13.2" x14ac:dyDescent="0.25">
      <c r="B1783" s="2"/>
      <c r="C1783" s="2"/>
      <c r="D1783" s="2"/>
      <c r="E1783" s="2"/>
      <c r="F1783" s="2"/>
      <c r="G1783" s="2"/>
      <c r="H1783" s="2"/>
      <c r="I1783" s="2"/>
      <c r="J1783" s="2"/>
      <c r="K1783" s="2"/>
      <c r="L1783" s="2"/>
    </row>
    <row r="1784" spans="2:12" ht="13.2" x14ac:dyDescent="0.25">
      <c r="B1784" s="2"/>
      <c r="C1784" s="2"/>
      <c r="D1784" s="2"/>
      <c r="E1784" s="2"/>
      <c r="F1784" s="2"/>
      <c r="G1784" s="2"/>
      <c r="H1784" s="2"/>
      <c r="I1784" s="2"/>
      <c r="J1784" s="2"/>
      <c r="K1784" s="2"/>
      <c r="L1784" s="2"/>
    </row>
    <row r="1785" spans="2:12" ht="13.2" x14ac:dyDescent="0.25">
      <c r="B1785" s="2"/>
      <c r="C1785" s="2"/>
      <c r="D1785" s="2"/>
      <c r="E1785" s="2"/>
      <c r="F1785" s="2"/>
      <c r="G1785" s="2"/>
      <c r="H1785" s="2"/>
      <c r="I1785" s="2"/>
      <c r="J1785" s="2"/>
      <c r="K1785" s="2"/>
      <c r="L1785" s="2"/>
    </row>
    <row r="1786" spans="2:12" ht="13.2" x14ac:dyDescent="0.25">
      <c r="B1786" s="2"/>
      <c r="C1786" s="2"/>
      <c r="D1786" s="2"/>
      <c r="E1786" s="2"/>
      <c r="F1786" s="2"/>
      <c r="G1786" s="2"/>
      <c r="H1786" s="2"/>
      <c r="I1786" s="2"/>
      <c r="J1786" s="2"/>
      <c r="K1786" s="2"/>
      <c r="L1786" s="2"/>
    </row>
    <row r="1787" spans="2:12" ht="13.2" x14ac:dyDescent="0.25">
      <c r="B1787" s="2"/>
      <c r="C1787" s="2"/>
      <c r="D1787" s="2"/>
      <c r="E1787" s="2"/>
      <c r="F1787" s="2"/>
      <c r="G1787" s="2"/>
      <c r="H1787" s="2"/>
      <c r="I1787" s="2"/>
      <c r="J1787" s="2"/>
      <c r="K1787" s="2"/>
      <c r="L1787" s="2"/>
    </row>
    <row r="1788" spans="2:12" ht="13.2" x14ac:dyDescent="0.25">
      <c r="B1788" s="2"/>
      <c r="C1788" s="2"/>
      <c r="D1788" s="2"/>
      <c r="E1788" s="2"/>
      <c r="F1788" s="2"/>
      <c r="G1788" s="2"/>
      <c r="H1788" s="2"/>
      <c r="I1788" s="2"/>
      <c r="J1788" s="2"/>
      <c r="K1788" s="2"/>
      <c r="L1788" s="2"/>
    </row>
    <row r="1789" spans="2:12" ht="13.2" x14ac:dyDescent="0.25">
      <c r="B1789" s="2"/>
      <c r="C1789" s="2"/>
      <c r="D1789" s="2"/>
      <c r="E1789" s="2"/>
      <c r="F1789" s="2"/>
      <c r="G1789" s="2"/>
      <c r="H1789" s="2"/>
      <c r="I1789" s="2"/>
      <c r="J1789" s="2"/>
      <c r="K1789" s="2"/>
      <c r="L1789" s="2"/>
    </row>
    <row r="1790" spans="2:12" ht="13.2" x14ac:dyDescent="0.25">
      <c r="B1790" s="2"/>
      <c r="C1790" s="2"/>
      <c r="D1790" s="2"/>
      <c r="E1790" s="2"/>
      <c r="F1790" s="2"/>
      <c r="G1790" s="2"/>
      <c r="H1790" s="2"/>
      <c r="I1790" s="2"/>
      <c r="J1790" s="2"/>
      <c r="K1790" s="2"/>
      <c r="L1790" s="2"/>
    </row>
    <row r="1791" spans="2:12" ht="13.2" x14ac:dyDescent="0.25">
      <c r="B1791" s="2"/>
      <c r="C1791" s="2"/>
      <c r="D1791" s="2"/>
      <c r="E1791" s="2"/>
      <c r="F1791" s="2"/>
      <c r="G1791" s="2"/>
      <c r="H1791" s="2"/>
      <c r="I1791" s="2"/>
      <c r="J1791" s="2"/>
      <c r="K1791" s="2"/>
      <c r="L1791" s="2"/>
    </row>
    <row r="1792" spans="2:12" ht="13.2" x14ac:dyDescent="0.25">
      <c r="B1792" s="2"/>
      <c r="C1792" s="2"/>
      <c r="D1792" s="2"/>
      <c r="E1792" s="2"/>
      <c r="F1792" s="2"/>
      <c r="G1792" s="2"/>
      <c r="H1792" s="2"/>
      <c r="I1792" s="2"/>
      <c r="J1792" s="2"/>
      <c r="K1792" s="2"/>
      <c r="L1792" s="2"/>
    </row>
    <row r="1793" spans="2:12" ht="13.2" x14ac:dyDescent="0.25">
      <c r="B1793" s="2"/>
      <c r="C1793" s="2"/>
      <c r="D1793" s="2"/>
      <c r="E1793" s="2"/>
      <c r="F1793" s="2"/>
      <c r="G1793" s="2"/>
      <c r="H1793" s="2"/>
      <c r="I1793" s="2"/>
      <c r="J1793" s="2"/>
      <c r="K1793" s="2"/>
      <c r="L1793" s="2"/>
    </row>
    <row r="1794" spans="2:12" ht="13.2" x14ac:dyDescent="0.25">
      <c r="B1794" s="2"/>
      <c r="C1794" s="2"/>
      <c r="D1794" s="2"/>
      <c r="E1794" s="2"/>
      <c r="F1794" s="2"/>
      <c r="G1794" s="2"/>
      <c r="H1794" s="2"/>
      <c r="I1794" s="2"/>
      <c r="J1794" s="2"/>
      <c r="K1794" s="2"/>
      <c r="L1794" s="2"/>
    </row>
    <row r="1795" spans="2:12" ht="13.2" x14ac:dyDescent="0.25">
      <c r="B1795" s="2"/>
      <c r="C1795" s="2"/>
      <c r="D1795" s="2"/>
      <c r="E1795" s="2"/>
      <c r="F1795" s="2"/>
      <c r="G1795" s="2"/>
      <c r="H1795" s="2"/>
      <c r="I1795" s="2"/>
      <c r="J1795" s="2"/>
      <c r="K1795" s="2"/>
      <c r="L1795" s="2"/>
    </row>
    <row r="1796" spans="2:12" ht="13.2" x14ac:dyDescent="0.25">
      <c r="B1796" s="2"/>
      <c r="C1796" s="2"/>
      <c r="D1796" s="2"/>
      <c r="E1796" s="2"/>
      <c r="F1796" s="2"/>
      <c r="G1796" s="2"/>
      <c r="H1796" s="2"/>
      <c r="I1796" s="2"/>
      <c r="J1796" s="2"/>
      <c r="K1796" s="2"/>
      <c r="L1796" s="2"/>
    </row>
    <row r="1797" spans="2:12" ht="13.2" x14ac:dyDescent="0.25">
      <c r="B1797" s="2"/>
      <c r="C1797" s="2"/>
      <c r="D1797" s="2"/>
      <c r="E1797" s="2"/>
      <c r="F1797" s="2"/>
      <c r="G1797" s="2"/>
      <c r="H1797" s="2"/>
      <c r="I1797" s="2"/>
      <c r="J1797" s="2"/>
      <c r="K1797" s="2"/>
      <c r="L1797" s="2"/>
    </row>
    <row r="1798" spans="2:12" ht="13.2" x14ac:dyDescent="0.25">
      <c r="B1798" s="2"/>
      <c r="C1798" s="2"/>
      <c r="D1798" s="2"/>
      <c r="E1798" s="2"/>
      <c r="F1798" s="2"/>
      <c r="G1798" s="2"/>
      <c r="H1798" s="2"/>
      <c r="I1798" s="2"/>
      <c r="J1798" s="2"/>
      <c r="K1798" s="2"/>
      <c r="L1798" s="2"/>
    </row>
    <row r="1799" spans="2:12" ht="13.2" x14ac:dyDescent="0.25">
      <c r="B1799" s="2"/>
      <c r="C1799" s="2"/>
      <c r="D1799" s="2"/>
      <c r="E1799" s="2"/>
      <c r="F1799" s="2"/>
      <c r="G1799" s="2"/>
      <c r="H1799" s="2"/>
      <c r="I1799" s="2"/>
      <c r="J1799" s="2"/>
      <c r="K1799" s="2"/>
      <c r="L1799" s="2"/>
    </row>
    <row r="1800" spans="2:12" ht="13.2" x14ac:dyDescent="0.25">
      <c r="B1800" s="2"/>
      <c r="C1800" s="2"/>
      <c r="D1800" s="2"/>
      <c r="E1800" s="2"/>
      <c r="F1800" s="2"/>
      <c r="G1800" s="2"/>
      <c r="H1800" s="2"/>
      <c r="I1800" s="2"/>
      <c r="J1800" s="2"/>
      <c r="K1800" s="2"/>
      <c r="L1800" s="2"/>
    </row>
    <row r="1801" spans="2:12" ht="13.2" x14ac:dyDescent="0.25">
      <c r="B1801" s="2"/>
      <c r="C1801" s="2"/>
      <c r="D1801" s="2"/>
      <c r="E1801" s="2"/>
      <c r="F1801" s="2"/>
      <c r="G1801" s="2"/>
      <c r="H1801" s="2"/>
      <c r="I1801" s="2"/>
      <c r="J1801" s="2"/>
      <c r="K1801" s="2"/>
      <c r="L1801" s="2"/>
    </row>
    <row r="1802" spans="2:12" ht="13.2" x14ac:dyDescent="0.25">
      <c r="B1802" s="2"/>
      <c r="C1802" s="2"/>
      <c r="D1802" s="2"/>
      <c r="E1802" s="2"/>
      <c r="F1802" s="2"/>
      <c r="G1802" s="2"/>
      <c r="H1802" s="2"/>
      <c r="I1802" s="2"/>
      <c r="J1802" s="2"/>
      <c r="K1802" s="2"/>
      <c r="L1802" s="2"/>
    </row>
    <row r="1803" spans="2:12" ht="13.2" x14ac:dyDescent="0.25">
      <c r="B1803" s="2"/>
      <c r="C1803" s="2"/>
      <c r="D1803" s="2"/>
      <c r="E1803" s="2"/>
      <c r="F1803" s="2"/>
      <c r="G1803" s="2"/>
      <c r="H1803" s="2"/>
      <c r="I1803" s="2"/>
      <c r="J1803" s="2"/>
      <c r="K1803" s="2"/>
      <c r="L1803" s="2"/>
    </row>
    <row r="1804" spans="2:12" ht="13.2" x14ac:dyDescent="0.25">
      <c r="B1804" s="2"/>
      <c r="C1804" s="2"/>
      <c r="D1804" s="2"/>
      <c r="E1804" s="2"/>
      <c r="F1804" s="2"/>
      <c r="G1804" s="2"/>
      <c r="H1804" s="2"/>
      <c r="I1804" s="2"/>
      <c r="J1804" s="2"/>
      <c r="K1804" s="2"/>
      <c r="L1804" s="2"/>
    </row>
    <row r="1805" spans="2:12" ht="13.2" x14ac:dyDescent="0.25">
      <c r="B1805" s="2"/>
      <c r="C1805" s="2"/>
      <c r="D1805" s="2"/>
      <c r="E1805" s="2"/>
      <c r="F1805" s="2"/>
      <c r="G1805" s="2"/>
      <c r="H1805" s="2"/>
      <c r="I1805" s="2"/>
      <c r="J1805" s="2"/>
      <c r="K1805" s="2"/>
      <c r="L1805" s="2"/>
    </row>
    <row r="1806" spans="2:12" ht="13.2" x14ac:dyDescent="0.25">
      <c r="B1806" s="2"/>
      <c r="C1806" s="2"/>
      <c r="D1806" s="2"/>
      <c r="E1806" s="2"/>
      <c r="F1806" s="2"/>
      <c r="G1806" s="2"/>
      <c r="H1806" s="2"/>
      <c r="I1806" s="2"/>
      <c r="J1806" s="2"/>
      <c r="K1806" s="2"/>
      <c r="L1806" s="2"/>
    </row>
    <row r="1807" spans="2:12" ht="13.2" x14ac:dyDescent="0.25">
      <c r="B1807" s="2"/>
      <c r="C1807" s="2"/>
      <c r="D1807" s="2"/>
      <c r="E1807" s="2"/>
      <c r="F1807" s="2"/>
      <c r="G1807" s="2"/>
      <c r="H1807" s="2"/>
      <c r="I1807" s="2"/>
      <c r="J1807" s="2"/>
      <c r="K1807" s="2"/>
      <c r="L1807" s="2"/>
    </row>
    <row r="1808" spans="2:12" ht="13.2" x14ac:dyDescent="0.25">
      <c r="B1808" s="2"/>
      <c r="C1808" s="2"/>
      <c r="D1808" s="2"/>
      <c r="E1808" s="2"/>
      <c r="F1808" s="2"/>
      <c r="G1808" s="2"/>
      <c r="H1808" s="2"/>
      <c r="I1808" s="2"/>
      <c r="J1808" s="2"/>
      <c r="K1808" s="2"/>
      <c r="L1808" s="2"/>
    </row>
    <row r="1809" spans="2:12" ht="13.2" x14ac:dyDescent="0.25">
      <c r="B1809" s="2"/>
      <c r="C1809" s="2"/>
      <c r="D1809" s="2"/>
      <c r="E1809" s="2"/>
      <c r="F1809" s="2"/>
      <c r="G1809" s="2"/>
      <c r="H1809" s="2"/>
      <c r="I1809" s="2"/>
      <c r="J1809" s="2"/>
      <c r="K1809" s="2"/>
      <c r="L1809" s="2"/>
    </row>
    <row r="1810" spans="2:12" ht="13.2" x14ac:dyDescent="0.25">
      <c r="B1810" s="2"/>
      <c r="C1810" s="2"/>
      <c r="D1810" s="2"/>
      <c r="E1810" s="2"/>
      <c r="F1810" s="2"/>
      <c r="G1810" s="2"/>
      <c r="H1810" s="2"/>
      <c r="I1810" s="2"/>
      <c r="J1810" s="2"/>
      <c r="K1810" s="2"/>
      <c r="L1810" s="2"/>
    </row>
    <row r="1811" spans="2:12" ht="13.2" x14ac:dyDescent="0.25">
      <c r="B1811" s="2"/>
      <c r="C1811" s="2"/>
      <c r="D1811" s="2"/>
      <c r="E1811" s="2"/>
      <c r="F1811" s="2"/>
      <c r="G1811" s="2"/>
      <c r="H1811" s="2"/>
      <c r="I1811" s="2"/>
      <c r="J1811" s="2"/>
      <c r="K1811" s="2"/>
      <c r="L1811" s="2"/>
    </row>
    <row r="1812" spans="2:12" ht="13.2" x14ac:dyDescent="0.25">
      <c r="B1812" s="2"/>
      <c r="C1812" s="2"/>
      <c r="D1812" s="2"/>
      <c r="E1812" s="2"/>
      <c r="F1812" s="2"/>
      <c r="G1812" s="2"/>
      <c r="H1812" s="2"/>
      <c r="I1812" s="2"/>
      <c r="J1812" s="2"/>
      <c r="K1812" s="2"/>
      <c r="L1812" s="2"/>
    </row>
    <row r="1813" spans="2:12" ht="13.2" x14ac:dyDescent="0.25">
      <c r="B1813" s="2"/>
      <c r="C1813" s="2"/>
      <c r="D1813" s="2"/>
      <c r="E1813" s="2"/>
      <c r="F1813" s="2"/>
      <c r="G1813" s="2"/>
      <c r="H1813" s="2"/>
      <c r="I1813" s="2"/>
      <c r="J1813" s="2"/>
      <c r="K1813" s="2"/>
      <c r="L1813" s="2"/>
    </row>
    <row r="1814" spans="2:12" ht="13.2" x14ac:dyDescent="0.25">
      <c r="B1814" s="2"/>
      <c r="C1814" s="2"/>
      <c r="D1814" s="2"/>
      <c r="E1814" s="2"/>
      <c r="F1814" s="2"/>
      <c r="G1814" s="2"/>
      <c r="H1814" s="2"/>
      <c r="I1814" s="2"/>
      <c r="J1814" s="2"/>
      <c r="K1814" s="2"/>
      <c r="L1814" s="2"/>
    </row>
    <row r="1815" spans="2:12" ht="13.2" x14ac:dyDescent="0.25">
      <c r="B1815" s="2"/>
      <c r="C1815" s="2"/>
      <c r="D1815" s="2"/>
      <c r="E1815" s="2"/>
      <c r="F1815" s="2"/>
      <c r="G1815" s="2"/>
      <c r="H1815" s="2"/>
      <c r="I1815" s="2"/>
      <c r="J1815" s="2"/>
      <c r="K1815" s="2"/>
      <c r="L1815" s="2"/>
    </row>
    <row r="1816" spans="2:12" ht="13.2" x14ac:dyDescent="0.25">
      <c r="B1816" s="2"/>
      <c r="C1816" s="2"/>
      <c r="D1816" s="2"/>
      <c r="E1816" s="2"/>
      <c r="F1816" s="2"/>
      <c r="G1816" s="2"/>
      <c r="H1816" s="2"/>
      <c r="I1816" s="2"/>
      <c r="J1816" s="2"/>
      <c r="K1816" s="2"/>
      <c r="L1816" s="2"/>
    </row>
    <row r="1817" spans="2:12" ht="13.2" x14ac:dyDescent="0.25">
      <c r="B1817" s="2"/>
      <c r="C1817" s="2"/>
      <c r="D1817" s="2"/>
      <c r="E1817" s="2"/>
      <c r="F1817" s="2"/>
      <c r="G1817" s="2"/>
      <c r="H1817" s="2"/>
      <c r="I1817" s="2"/>
      <c r="J1817" s="2"/>
      <c r="K1817" s="2"/>
      <c r="L1817" s="2"/>
    </row>
    <row r="1818" spans="2:12" ht="13.2" x14ac:dyDescent="0.25">
      <c r="B1818" s="2"/>
      <c r="C1818" s="2"/>
      <c r="D1818" s="2"/>
      <c r="E1818" s="2"/>
      <c r="F1818" s="2"/>
      <c r="G1818" s="2"/>
      <c r="H1818" s="2"/>
      <c r="I1818" s="2"/>
      <c r="J1818" s="2"/>
      <c r="K1818" s="2"/>
      <c r="L1818" s="2"/>
    </row>
    <row r="1819" spans="2:12" ht="13.2" x14ac:dyDescent="0.25">
      <c r="B1819" s="2"/>
      <c r="C1819" s="2"/>
      <c r="D1819" s="2"/>
      <c r="E1819" s="2"/>
      <c r="F1819" s="2"/>
      <c r="G1819" s="2"/>
      <c r="H1819" s="2"/>
      <c r="I1819" s="2"/>
      <c r="J1819" s="2"/>
      <c r="K1819" s="2"/>
      <c r="L1819" s="2"/>
    </row>
    <row r="1820" spans="2:12" ht="13.2" x14ac:dyDescent="0.25">
      <c r="B1820" s="2"/>
      <c r="C1820" s="2"/>
      <c r="D1820" s="2"/>
      <c r="E1820" s="2"/>
      <c r="F1820" s="2"/>
      <c r="G1820" s="2"/>
      <c r="H1820" s="2"/>
      <c r="I1820" s="2"/>
      <c r="J1820" s="2"/>
      <c r="K1820" s="2"/>
      <c r="L1820" s="2"/>
    </row>
    <row r="1821" spans="2:12" ht="13.2" x14ac:dyDescent="0.25">
      <c r="B1821" s="2"/>
      <c r="C1821" s="2"/>
      <c r="D1821" s="2"/>
      <c r="E1821" s="2"/>
      <c r="F1821" s="2"/>
      <c r="G1821" s="2"/>
      <c r="H1821" s="2"/>
      <c r="I1821" s="2"/>
      <c r="J1821" s="2"/>
      <c r="K1821" s="2"/>
      <c r="L1821" s="2"/>
    </row>
    <row r="1822" spans="2:12" ht="13.2" x14ac:dyDescent="0.25">
      <c r="B1822" s="2"/>
      <c r="C1822" s="2"/>
      <c r="D1822" s="2"/>
      <c r="E1822" s="2"/>
      <c r="F1822" s="2"/>
      <c r="G1822" s="2"/>
      <c r="H1822" s="2"/>
      <c r="I1822" s="2"/>
      <c r="J1822" s="2"/>
      <c r="K1822" s="2"/>
      <c r="L1822" s="2"/>
    </row>
    <row r="1823" spans="2:12" ht="13.2" x14ac:dyDescent="0.25">
      <c r="B1823" s="2"/>
      <c r="C1823" s="2"/>
      <c r="D1823" s="2"/>
      <c r="E1823" s="2"/>
      <c r="F1823" s="2"/>
      <c r="G1823" s="2"/>
      <c r="H1823" s="2"/>
      <c r="I1823" s="2"/>
      <c r="J1823" s="2"/>
      <c r="K1823" s="2"/>
      <c r="L1823" s="2"/>
    </row>
    <row r="1824" spans="2:12" ht="13.2" x14ac:dyDescent="0.25">
      <c r="B1824" s="2"/>
      <c r="C1824" s="2"/>
      <c r="D1824" s="2"/>
      <c r="E1824" s="2"/>
      <c r="F1824" s="2"/>
      <c r="G1824" s="2"/>
      <c r="H1824" s="2"/>
      <c r="I1824" s="2"/>
      <c r="J1824" s="2"/>
      <c r="K1824" s="2"/>
      <c r="L1824" s="2"/>
    </row>
    <row r="1825" spans="2:12" ht="13.2" x14ac:dyDescent="0.25">
      <c r="B1825" s="2"/>
      <c r="C1825" s="2"/>
      <c r="D1825" s="2"/>
      <c r="E1825" s="2"/>
      <c r="F1825" s="2"/>
      <c r="G1825" s="2"/>
      <c r="H1825" s="2"/>
      <c r="I1825" s="2"/>
      <c r="J1825" s="2"/>
      <c r="K1825" s="2"/>
      <c r="L1825" s="2"/>
    </row>
    <row r="1826" spans="2:12" ht="13.2" x14ac:dyDescent="0.25">
      <c r="B1826" s="2"/>
      <c r="C1826" s="2"/>
      <c r="D1826" s="2"/>
      <c r="E1826" s="2"/>
      <c r="F1826" s="2"/>
      <c r="G1826" s="2"/>
      <c r="H1826" s="2"/>
      <c r="I1826" s="2"/>
      <c r="J1826" s="2"/>
      <c r="K1826" s="2"/>
      <c r="L1826" s="2"/>
    </row>
    <row r="1827" spans="2:12" ht="13.2" x14ac:dyDescent="0.25">
      <c r="B1827" s="2"/>
      <c r="C1827" s="2"/>
      <c r="D1827" s="2"/>
      <c r="E1827" s="2"/>
      <c r="F1827" s="2"/>
      <c r="G1827" s="2"/>
      <c r="H1827" s="2"/>
      <c r="I1827" s="2"/>
      <c r="J1827" s="2"/>
      <c r="K1827" s="2"/>
      <c r="L1827" s="2"/>
    </row>
    <row r="1828" spans="2:12" ht="13.2" x14ac:dyDescent="0.25">
      <c r="B1828" s="2"/>
      <c r="C1828" s="2"/>
      <c r="D1828" s="2"/>
      <c r="E1828" s="2"/>
      <c r="F1828" s="2"/>
      <c r="G1828" s="2"/>
      <c r="H1828" s="2"/>
      <c r="I1828" s="2"/>
      <c r="J1828" s="2"/>
      <c r="K1828" s="2"/>
      <c r="L1828" s="2"/>
    </row>
    <row r="1829" spans="2:12" ht="13.2" x14ac:dyDescent="0.25">
      <c r="B1829" s="2"/>
      <c r="C1829" s="2"/>
      <c r="D1829" s="2"/>
      <c r="E1829" s="2"/>
      <c r="F1829" s="2"/>
      <c r="G1829" s="2"/>
      <c r="H1829" s="2"/>
      <c r="I1829" s="2"/>
      <c r="J1829" s="2"/>
      <c r="K1829" s="2"/>
      <c r="L1829" s="2"/>
    </row>
    <row r="1830" spans="2:12" ht="13.2" x14ac:dyDescent="0.25">
      <c r="B1830" s="2"/>
      <c r="C1830" s="2"/>
      <c r="D1830" s="2"/>
      <c r="E1830" s="2"/>
      <c r="F1830" s="2"/>
      <c r="G1830" s="2"/>
      <c r="H1830" s="2"/>
      <c r="I1830" s="2"/>
      <c r="J1830" s="2"/>
      <c r="K1830" s="2"/>
      <c r="L1830" s="2"/>
    </row>
    <row r="1831" spans="2:12" ht="13.2" x14ac:dyDescent="0.25">
      <c r="B1831" s="2"/>
      <c r="C1831" s="2"/>
      <c r="D1831" s="2"/>
      <c r="E1831" s="2"/>
      <c r="F1831" s="2"/>
      <c r="G1831" s="2"/>
      <c r="H1831" s="2"/>
      <c r="I1831" s="2"/>
      <c r="J1831" s="2"/>
      <c r="K1831" s="2"/>
      <c r="L1831" s="2"/>
    </row>
    <row r="1832" spans="2:12" ht="13.2" x14ac:dyDescent="0.25">
      <c r="B1832" s="2"/>
      <c r="C1832" s="2"/>
      <c r="D1832" s="2"/>
      <c r="E1832" s="2"/>
      <c r="F1832" s="2"/>
      <c r="G1832" s="2"/>
      <c r="H1832" s="2"/>
      <c r="I1832" s="2"/>
      <c r="J1832" s="2"/>
      <c r="K1832" s="2"/>
      <c r="L1832" s="2"/>
    </row>
    <row r="1833" spans="2:12" ht="13.2" x14ac:dyDescent="0.25">
      <c r="B1833" s="2"/>
      <c r="C1833" s="2"/>
      <c r="D1833" s="2"/>
      <c r="E1833" s="2"/>
      <c r="F1833" s="2"/>
      <c r="G1833" s="2"/>
      <c r="H1833" s="2"/>
      <c r="I1833" s="2"/>
      <c r="J1833" s="2"/>
      <c r="K1833" s="2"/>
      <c r="L1833" s="2"/>
    </row>
    <row r="1834" spans="2:12" ht="13.2" x14ac:dyDescent="0.25">
      <c r="B1834" s="2"/>
      <c r="C1834" s="2"/>
      <c r="D1834" s="2"/>
      <c r="E1834" s="2"/>
      <c r="F1834" s="2"/>
      <c r="G1834" s="2"/>
      <c r="H1834" s="2"/>
      <c r="I1834" s="2"/>
      <c r="J1834" s="2"/>
      <c r="K1834" s="2"/>
      <c r="L1834" s="2"/>
    </row>
    <row r="1835" spans="2:12" ht="13.2" x14ac:dyDescent="0.25">
      <c r="B1835" s="2"/>
      <c r="C1835" s="2"/>
      <c r="D1835" s="2"/>
      <c r="E1835" s="2"/>
      <c r="F1835" s="2"/>
      <c r="G1835" s="2"/>
      <c r="H1835" s="2"/>
      <c r="I1835" s="2"/>
      <c r="J1835" s="2"/>
      <c r="K1835" s="2"/>
      <c r="L1835" s="2"/>
    </row>
    <row r="1836" spans="2:12" ht="13.2" x14ac:dyDescent="0.25">
      <c r="B1836" s="2"/>
      <c r="C1836" s="2"/>
      <c r="D1836" s="2"/>
      <c r="E1836" s="2"/>
      <c r="F1836" s="2"/>
      <c r="G1836" s="2"/>
      <c r="H1836" s="2"/>
      <c r="I1836" s="2"/>
      <c r="J1836" s="2"/>
      <c r="K1836" s="2"/>
      <c r="L1836" s="2"/>
    </row>
    <row r="1837" spans="2:12" ht="13.2" x14ac:dyDescent="0.25">
      <c r="B1837" s="2"/>
      <c r="C1837" s="2"/>
      <c r="D1837" s="2"/>
      <c r="E1837" s="2"/>
      <c r="F1837" s="2"/>
      <c r="G1837" s="2"/>
      <c r="H1837" s="2"/>
      <c r="I1837" s="2"/>
      <c r="J1837" s="2"/>
      <c r="K1837" s="2"/>
      <c r="L1837" s="2"/>
    </row>
    <row r="1838" spans="2:12" ht="13.2" x14ac:dyDescent="0.25">
      <c r="B1838" s="2"/>
      <c r="C1838" s="2"/>
      <c r="D1838" s="2"/>
      <c r="E1838" s="2"/>
      <c r="F1838" s="2"/>
      <c r="G1838" s="2"/>
      <c r="H1838" s="2"/>
      <c r="I1838" s="2"/>
      <c r="J1838" s="2"/>
      <c r="K1838" s="2"/>
      <c r="L1838" s="2"/>
    </row>
    <row r="1839" spans="2:12" ht="13.2" x14ac:dyDescent="0.25">
      <c r="B1839" s="2"/>
      <c r="C1839" s="2"/>
      <c r="D1839" s="2"/>
      <c r="E1839" s="2"/>
      <c r="F1839" s="2"/>
      <c r="G1839" s="2"/>
      <c r="H1839" s="2"/>
      <c r="I1839" s="2"/>
      <c r="J1839" s="2"/>
      <c r="K1839" s="2"/>
      <c r="L1839" s="2"/>
    </row>
    <row r="1840" spans="2:12" ht="13.2" x14ac:dyDescent="0.25">
      <c r="B1840" s="2"/>
      <c r="C1840" s="2"/>
      <c r="D1840" s="2"/>
      <c r="E1840" s="2"/>
      <c r="F1840" s="2"/>
      <c r="G1840" s="2"/>
      <c r="H1840" s="2"/>
      <c r="I1840" s="2"/>
      <c r="J1840" s="2"/>
      <c r="K1840" s="2"/>
      <c r="L1840" s="2"/>
    </row>
    <row r="1841" spans="2:12" ht="13.2" x14ac:dyDescent="0.25">
      <c r="B1841" s="2"/>
      <c r="C1841" s="2"/>
      <c r="D1841" s="2"/>
      <c r="E1841" s="2"/>
      <c r="F1841" s="2"/>
      <c r="G1841" s="2"/>
      <c r="H1841" s="2"/>
      <c r="I1841" s="2"/>
      <c r="J1841" s="2"/>
      <c r="K1841" s="2"/>
      <c r="L1841" s="2"/>
    </row>
    <row r="1842" spans="2:12" ht="13.2" x14ac:dyDescent="0.25">
      <c r="B1842" s="2"/>
      <c r="C1842" s="2"/>
      <c r="D1842" s="2"/>
      <c r="E1842" s="2"/>
      <c r="F1842" s="2"/>
      <c r="G1842" s="2"/>
      <c r="H1842" s="2"/>
      <c r="I1842" s="2"/>
      <c r="J1842" s="2"/>
      <c r="K1842" s="2"/>
      <c r="L1842" s="2"/>
    </row>
    <row r="1843" spans="2:12" ht="13.2" x14ac:dyDescent="0.25">
      <c r="B1843" s="2"/>
      <c r="C1843" s="2"/>
      <c r="D1843" s="2"/>
      <c r="E1843" s="2"/>
      <c r="F1843" s="2"/>
      <c r="G1843" s="2"/>
      <c r="H1843" s="2"/>
      <c r="I1843" s="2"/>
      <c r="J1843" s="2"/>
      <c r="K1843" s="2"/>
      <c r="L1843" s="2"/>
    </row>
    <row r="1844" spans="2:12" ht="13.2" x14ac:dyDescent="0.25">
      <c r="B1844" s="2"/>
      <c r="C1844" s="2"/>
      <c r="D1844" s="2"/>
      <c r="E1844" s="2"/>
      <c r="F1844" s="2"/>
      <c r="G1844" s="2"/>
      <c r="H1844" s="2"/>
      <c r="I1844" s="2"/>
      <c r="J1844" s="2"/>
      <c r="K1844" s="2"/>
      <c r="L1844" s="2"/>
    </row>
    <row r="1845" spans="2:12" ht="13.2" x14ac:dyDescent="0.25">
      <c r="B1845" s="2"/>
      <c r="C1845" s="2"/>
      <c r="D1845" s="2"/>
      <c r="E1845" s="2"/>
      <c r="F1845" s="2"/>
      <c r="G1845" s="2"/>
      <c r="H1845" s="2"/>
      <c r="I1845" s="2"/>
      <c r="J1845" s="2"/>
      <c r="K1845" s="2"/>
      <c r="L1845" s="2"/>
    </row>
    <row r="1846" spans="2:12" ht="13.2" x14ac:dyDescent="0.25">
      <c r="B1846" s="2"/>
      <c r="C1846" s="2"/>
      <c r="D1846" s="2"/>
      <c r="E1846" s="2"/>
      <c r="F1846" s="2"/>
      <c r="G1846" s="2"/>
      <c r="H1846" s="2"/>
      <c r="I1846" s="2"/>
      <c r="J1846" s="2"/>
      <c r="K1846" s="2"/>
      <c r="L1846" s="2"/>
    </row>
    <row r="1847" spans="2:12" ht="13.2" x14ac:dyDescent="0.25">
      <c r="B1847" s="2"/>
      <c r="C1847" s="2"/>
      <c r="D1847" s="2"/>
      <c r="E1847" s="2"/>
      <c r="F1847" s="2"/>
      <c r="G1847" s="2"/>
      <c r="H1847" s="2"/>
      <c r="I1847" s="2"/>
      <c r="J1847" s="2"/>
      <c r="K1847" s="2"/>
      <c r="L1847" s="2"/>
    </row>
    <row r="1848" spans="2:12" ht="13.2" x14ac:dyDescent="0.25">
      <c r="B1848" s="2"/>
      <c r="C1848" s="2"/>
      <c r="D1848" s="2"/>
      <c r="E1848" s="2"/>
      <c r="F1848" s="2"/>
      <c r="G1848" s="2"/>
      <c r="H1848" s="2"/>
      <c r="I1848" s="2"/>
      <c r="J1848" s="2"/>
      <c r="K1848" s="2"/>
      <c r="L1848" s="2"/>
    </row>
    <row r="1849" spans="2:12" ht="13.2" x14ac:dyDescent="0.25">
      <c r="B1849" s="2"/>
      <c r="C1849" s="2"/>
      <c r="D1849" s="2"/>
      <c r="E1849" s="2"/>
      <c r="F1849" s="2"/>
      <c r="G1849" s="2"/>
      <c r="H1849" s="2"/>
      <c r="I1849" s="2"/>
      <c r="J1849" s="2"/>
      <c r="K1849" s="2"/>
      <c r="L1849" s="2"/>
    </row>
    <row r="1850" spans="2:12" ht="13.2" x14ac:dyDescent="0.25">
      <c r="B1850" s="2"/>
      <c r="C1850" s="2"/>
      <c r="D1850" s="2"/>
      <c r="E1850" s="2"/>
      <c r="F1850" s="2"/>
      <c r="G1850" s="2"/>
      <c r="H1850" s="2"/>
      <c r="I1850" s="2"/>
      <c r="J1850" s="2"/>
      <c r="K1850" s="2"/>
      <c r="L1850" s="2"/>
    </row>
    <row r="1851" spans="2:12" ht="13.2" x14ac:dyDescent="0.25">
      <c r="B1851" s="2"/>
      <c r="C1851" s="2"/>
      <c r="D1851" s="2"/>
      <c r="E1851" s="2"/>
      <c r="F1851" s="2"/>
      <c r="G1851" s="2"/>
      <c r="H1851" s="2"/>
      <c r="I1851" s="2"/>
      <c r="J1851" s="2"/>
      <c r="K1851" s="2"/>
      <c r="L1851" s="2"/>
    </row>
    <row r="1852" spans="2:12" ht="13.2" x14ac:dyDescent="0.25">
      <c r="B1852" s="2"/>
      <c r="C1852" s="2"/>
      <c r="D1852" s="2"/>
      <c r="E1852" s="2"/>
      <c r="F1852" s="2"/>
      <c r="G1852" s="2"/>
      <c r="H1852" s="2"/>
      <c r="I1852" s="2"/>
      <c r="J1852" s="2"/>
      <c r="K1852" s="2"/>
      <c r="L1852" s="2"/>
    </row>
    <row r="1853" spans="2:12" ht="13.2" x14ac:dyDescent="0.25">
      <c r="B1853" s="2"/>
      <c r="C1853" s="2"/>
      <c r="D1853" s="2"/>
      <c r="E1853" s="2"/>
      <c r="F1853" s="2"/>
      <c r="G1853" s="2"/>
      <c r="H1853" s="2"/>
      <c r="I1853" s="2"/>
      <c r="J1853" s="2"/>
      <c r="K1853" s="2"/>
      <c r="L1853" s="2"/>
    </row>
    <row r="1854" spans="2:12" ht="13.2" x14ac:dyDescent="0.25">
      <c r="B1854" s="2"/>
      <c r="C1854" s="2"/>
      <c r="D1854" s="2"/>
      <c r="E1854" s="2"/>
      <c r="F1854" s="2"/>
      <c r="G1854" s="2"/>
      <c r="H1854" s="2"/>
      <c r="I1854" s="2"/>
      <c r="J1854" s="2"/>
      <c r="K1854" s="2"/>
      <c r="L1854" s="2"/>
    </row>
    <row r="1855" spans="2:12" ht="13.2" x14ac:dyDescent="0.25">
      <c r="B1855" s="2"/>
      <c r="C1855" s="2"/>
      <c r="D1855" s="2"/>
      <c r="E1855" s="2"/>
      <c r="F1855" s="2"/>
      <c r="G1855" s="2"/>
      <c r="H1855" s="2"/>
      <c r="I1855" s="2"/>
      <c r="J1855" s="2"/>
      <c r="K1855" s="2"/>
      <c r="L1855" s="2"/>
    </row>
    <row r="1856" spans="2:12" ht="13.2" x14ac:dyDescent="0.25">
      <c r="B1856" s="2"/>
      <c r="C1856" s="2"/>
      <c r="D1856" s="2"/>
      <c r="E1856" s="2"/>
      <c r="F1856" s="2"/>
      <c r="G1856" s="2"/>
      <c r="H1856" s="2"/>
      <c r="I1856" s="2"/>
      <c r="J1856" s="2"/>
      <c r="K1856" s="2"/>
      <c r="L1856" s="2"/>
    </row>
    <row r="1857" spans="2:12" ht="13.2" x14ac:dyDescent="0.25">
      <c r="B1857" s="2"/>
      <c r="C1857" s="2"/>
      <c r="D1857" s="2"/>
      <c r="E1857" s="2"/>
      <c r="F1857" s="2"/>
      <c r="G1857" s="2"/>
      <c r="H1857" s="2"/>
      <c r="I1857" s="2"/>
      <c r="J1857" s="2"/>
      <c r="K1857" s="2"/>
      <c r="L1857" s="2"/>
    </row>
    <row r="1858" spans="2:12" ht="13.2" x14ac:dyDescent="0.25">
      <c r="B1858" s="2"/>
      <c r="C1858" s="2"/>
      <c r="D1858" s="2"/>
      <c r="E1858" s="2"/>
      <c r="F1858" s="2"/>
      <c r="G1858" s="2"/>
      <c r="H1858" s="2"/>
      <c r="I1858" s="2"/>
      <c r="J1858" s="2"/>
      <c r="K1858" s="2"/>
      <c r="L1858" s="2"/>
    </row>
    <row r="1859" spans="2:12" ht="13.2" x14ac:dyDescent="0.25">
      <c r="B1859" s="2"/>
      <c r="C1859" s="2"/>
      <c r="D1859" s="2"/>
      <c r="E1859" s="2"/>
      <c r="F1859" s="2"/>
      <c r="G1859" s="2"/>
      <c r="H1859" s="2"/>
      <c r="I1859" s="2"/>
      <c r="J1859" s="2"/>
      <c r="K1859" s="2"/>
      <c r="L1859" s="2"/>
    </row>
    <row r="1860" spans="2:12" ht="13.2" x14ac:dyDescent="0.25">
      <c r="B1860" s="2"/>
      <c r="C1860" s="2"/>
      <c r="D1860" s="2"/>
      <c r="E1860" s="2"/>
      <c r="F1860" s="2"/>
      <c r="G1860" s="2"/>
      <c r="H1860" s="2"/>
      <c r="I1860" s="2"/>
      <c r="J1860" s="2"/>
      <c r="K1860" s="2"/>
      <c r="L1860" s="2"/>
    </row>
    <row r="1861" spans="2:12" ht="13.2" x14ac:dyDescent="0.25">
      <c r="B1861" s="2"/>
      <c r="C1861" s="2"/>
      <c r="D1861" s="2"/>
      <c r="E1861" s="2"/>
      <c r="F1861" s="2"/>
      <c r="G1861" s="2"/>
      <c r="H1861" s="2"/>
      <c r="I1861" s="2"/>
      <c r="J1861" s="2"/>
      <c r="K1861" s="2"/>
      <c r="L1861" s="2"/>
    </row>
    <row r="1862" spans="2:12" ht="13.2" x14ac:dyDescent="0.25">
      <c r="B1862" s="2"/>
      <c r="C1862" s="2"/>
      <c r="D1862" s="2"/>
      <c r="E1862" s="2"/>
      <c r="F1862" s="2"/>
      <c r="G1862" s="2"/>
      <c r="H1862" s="2"/>
      <c r="I1862" s="2"/>
      <c r="J1862" s="2"/>
      <c r="K1862" s="2"/>
      <c r="L1862" s="2"/>
    </row>
    <row r="1863" spans="2:12" ht="13.2" x14ac:dyDescent="0.25">
      <c r="B1863" s="2"/>
      <c r="C1863" s="2"/>
      <c r="D1863" s="2"/>
      <c r="E1863" s="2"/>
      <c r="F1863" s="2"/>
      <c r="G1863" s="2"/>
      <c r="H1863" s="2"/>
      <c r="I1863" s="2"/>
      <c r="J1863" s="2"/>
      <c r="K1863" s="2"/>
      <c r="L1863" s="2"/>
    </row>
    <row r="1864" spans="2:12" ht="13.2" x14ac:dyDescent="0.25">
      <c r="B1864" s="2"/>
      <c r="C1864" s="2"/>
      <c r="D1864" s="2"/>
      <c r="E1864" s="2"/>
      <c r="F1864" s="2"/>
      <c r="G1864" s="2"/>
      <c r="H1864" s="2"/>
      <c r="I1864" s="2"/>
      <c r="J1864" s="2"/>
      <c r="K1864" s="2"/>
      <c r="L1864" s="2"/>
    </row>
    <row r="1865" spans="2:12" ht="13.2" x14ac:dyDescent="0.25">
      <c r="B1865" s="2"/>
      <c r="C1865" s="2"/>
      <c r="D1865" s="2"/>
      <c r="E1865" s="2"/>
      <c r="F1865" s="2"/>
      <c r="G1865" s="2"/>
      <c r="H1865" s="2"/>
      <c r="I1865" s="2"/>
      <c r="J1865" s="2"/>
      <c r="K1865" s="2"/>
      <c r="L1865" s="2"/>
    </row>
    <row r="1866" spans="2:12" ht="13.2" x14ac:dyDescent="0.25">
      <c r="B1866" s="2"/>
      <c r="C1866" s="2"/>
      <c r="D1866" s="2"/>
      <c r="E1866" s="2"/>
      <c r="F1866" s="2"/>
      <c r="G1866" s="2"/>
      <c r="H1866" s="2"/>
      <c r="I1866" s="2"/>
      <c r="J1866" s="2"/>
      <c r="K1866" s="2"/>
      <c r="L1866" s="2"/>
    </row>
    <row r="1867" spans="2:12" ht="13.2" x14ac:dyDescent="0.25">
      <c r="B1867" s="2"/>
      <c r="C1867" s="2"/>
      <c r="D1867" s="2"/>
      <c r="E1867" s="2"/>
      <c r="F1867" s="2"/>
      <c r="G1867" s="2"/>
      <c r="H1867" s="2"/>
      <c r="I1867" s="2"/>
      <c r="J1867" s="2"/>
      <c r="K1867" s="2"/>
      <c r="L1867" s="2"/>
    </row>
    <row r="1868" spans="2:12" ht="13.2" x14ac:dyDescent="0.25">
      <c r="B1868" s="2"/>
      <c r="C1868" s="2"/>
      <c r="D1868" s="2"/>
      <c r="E1868" s="2"/>
      <c r="F1868" s="2"/>
      <c r="G1868" s="2"/>
      <c r="H1868" s="2"/>
      <c r="I1868" s="2"/>
      <c r="J1868" s="2"/>
      <c r="K1868" s="2"/>
      <c r="L1868" s="2"/>
    </row>
    <row r="1869" spans="2:12" ht="13.2" x14ac:dyDescent="0.25">
      <c r="B1869" s="2"/>
      <c r="C1869" s="2"/>
      <c r="D1869" s="2"/>
      <c r="E1869" s="2"/>
      <c r="F1869" s="2"/>
      <c r="G1869" s="2"/>
      <c r="H1869" s="2"/>
      <c r="I1869" s="2"/>
      <c r="J1869" s="2"/>
      <c r="K1869" s="2"/>
      <c r="L1869" s="2"/>
    </row>
    <row r="1870" spans="2:12" ht="13.2" x14ac:dyDescent="0.25">
      <c r="B1870" s="2"/>
      <c r="C1870" s="2"/>
      <c r="D1870" s="2"/>
      <c r="E1870" s="2"/>
      <c r="F1870" s="2"/>
      <c r="G1870" s="2"/>
      <c r="H1870" s="2"/>
      <c r="I1870" s="2"/>
      <c r="J1870" s="2"/>
      <c r="K1870" s="2"/>
      <c r="L1870" s="2"/>
    </row>
    <row r="1871" spans="2:12" ht="13.2" x14ac:dyDescent="0.25">
      <c r="B1871" s="2"/>
      <c r="C1871" s="2"/>
      <c r="D1871" s="2"/>
      <c r="E1871" s="2"/>
      <c r="F1871" s="2"/>
      <c r="G1871" s="2"/>
      <c r="H1871" s="2"/>
      <c r="I1871" s="2"/>
      <c r="J1871" s="2"/>
      <c r="K1871" s="2"/>
      <c r="L1871" s="2"/>
    </row>
    <row r="1872" spans="2:12" ht="13.2" x14ac:dyDescent="0.25">
      <c r="B1872" s="2"/>
      <c r="C1872" s="2"/>
      <c r="D1872" s="2"/>
      <c r="E1872" s="2"/>
      <c r="F1872" s="2"/>
      <c r="G1872" s="2"/>
      <c r="H1872" s="2"/>
      <c r="I1872" s="2"/>
      <c r="J1872" s="2"/>
      <c r="K1872" s="2"/>
      <c r="L1872" s="2"/>
    </row>
    <row r="1873" spans="2:12" ht="13.2" x14ac:dyDescent="0.25">
      <c r="B1873" s="2"/>
      <c r="C1873" s="2"/>
      <c r="D1873" s="2"/>
      <c r="E1873" s="2"/>
      <c r="F1873" s="2"/>
      <c r="G1873" s="2"/>
      <c r="H1873" s="2"/>
      <c r="I1873" s="2"/>
      <c r="J1873" s="2"/>
      <c r="K1873" s="2"/>
      <c r="L1873" s="2"/>
    </row>
    <row r="1874" spans="2:12" ht="13.2" x14ac:dyDescent="0.25">
      <c r="B1874" s="2"/>
      <c r="C1874" s="2"/>
      <c r="D1874" s="2"/>
      <c r="E1874" s="2"/>
      <c r="F1874" s="2"/>
      <c r="G1874" s="2"/>
      <c r="H1874" s="2"/>
      <c r="I1874" s="2"/>
      <c r="J1874" s="2"/>
      <c r="K1874" s="2"/>
      <c r="L1874" s="2"/>
    </row>
    <row r="1875" spans="2:12" ht="13.2" x14ac:dyDescent="0.25">
      <c r="B1875" s="2"/>
      <c r="C1875" s="2"/>
      <c r="D1875" s="2"/>
      <c r="E1875" s="2"/>
      <c r="F1875" s="2"/>
      <c r="G1875" s="2"/>
      <c r="H1875" s="2"/>
      <c r="I1875" s="2"/>
      <c r="J1875" s="2"/>
      <c r="K1875" s="2"/>
      <c r="L1875" s="2"/>
    </row>
    <row r="1876" spans="2:12" ht="13.2" x14ac:dyDescent="0.25">
      <c r="B1876" s="2"/>
      <c r="C1876" s="2"/>
      <c r="D1876" s="2"/>
      <c r="E1876" s="2"/>
      <c r="F1876" s="2"/>
      <c r="G1876" s="2"/>
      <c r="H1876" s="2"/>
      <c r="I1876" s="2"/>
      <c r="J1876" s="2"/>
      <c r="K1876" s="2"/>
      <c r="L1876" s="2"/>
    </row>
    <row r="1877" spans="2:12" ht="13.2" x14ac:dyDescent="0.25">
      <c r="B1877" s="2"/>
      <c r="C1877" s="2"/>
      <c r="D1877" s="2"/>
      <c r="E1877" s="2"/>
      <c r="F1877" s="2"/>
      <c r="G1877" s="2"/>
      <c r="H1877" s="2"/>
      <c r="I1877" s="2"/>
      <c r="J1877" s="2"/>
      <c r="K1877" s="2"/>
      <c r="L1877" s="2"/>
    </row>
    <row r="1878" spans="2:12" ht="13.2" x14ac:dyDescent="0.25">
      <c r="B1878" s="2"/>
      <c r="C1878" s="2"/>
      <c r="D1878" s="2"/>
      <c r="E1878" s="2"/>
      <c r="F1878" s="2"/>
      <c r="G1878" s="2"/>
      <c r="H1878" s="2"/>
      <c r="I1878" s="2"/>
      <c r="J1878" s="2"/>
      <c r="K1878" s="2"/>
      <c r="L1878" s="2"/>
    </row>
    <row r="1879" spans="2:12" ht="13.2" x14ac:dyDescent="0.25">
      <c r="B1879" s="2"/>
      <c r="C1879" s="2"/>
      <c r="D1879" s="2"/>
      <c r="E1879" s="2"/>
      <c r="F1879" s="2"/>
      <c r="G1879" s="2"/>
      <c r="H1879" s="2"/>
      <c r="I1879" s="2"/>
      <c r="J1879" s="2"/>
      <c r="K1879" s="2"/>
      <c r="L1879" s="2"/>
    </row>
    <row r="1880" spans="2:12" ht="13.2" x14ac:dyDescent="0.25">
      <c r="B1880" s="2"/>
      <c r="C1880" s="2"/>
      <c r="D1880" s="2"/>
      <c r="E1880" s="2"/>
      <c r="F1880" s="2"/>
      <c r="G1880" s="2"/>
      <c r="H1880" s="2"/>
      <c r="I1880" s="2"/>
      <c r="J1880" s="2"/>
      <c r="K1880" s="2"/>
      <c r="L1880" s="2"/>
    </row>
    <row r="1881" spans="2:12" ht="13.2" x14ac:dyDescent="0.25">
      <c r="B1881" s="2"/>
      <c r="C1881" s="2"/>
      <c r="D1881" s="2"/>
      <c r="E1881" s="2"/>
      <c r="F1881" s="2"/>
      <c r="G1881" s="2"/>
      <c r="H1881" s="2"/>
      <c r="I1881" s="2"/>
      <c r="J1881" s="2"/>
      <c r="K1881" s="2"/>
      <c r="L1881" s="2"/>
    </row>
    <row r="1882" spans="2:12" ht="13.2" x14ac:dyDescent="0.25">
      <c r="B1882" s="2"/>
      <c r="C1882" s="2"/>
      <c r="D1882" s="2"/>
      <c r="E1882" s="2"/>
      <c r="F1882" s="2"/>
      <c r="G1882" s="2"/>
      <c r="H1882" s="2"/>
      <c r="I1882" s="2"/>
      <c r="J1882" s="2"/>
      <c r="K1882" s="2"/>
      <c r="L1882" s="2"/>
    </row>
    <row r="1883" spans="2:12" ht="13.2" x14ac:dyDescent="0.25">
      <c r="B1883" s="2"/>
      <c r="C1883" s="2"/>
      <c r="D1883" s="2"/>
      <c r="E1883" s="2"/>
      <c r="F1883" s="2"/>
      <c r="G1883" s="2"/>
      <c r="H1883" s="2"/>
      <c r="I1883" s="2"/>
      <c r="J1883" s="2"/>
      <c r="K1883" s="2"/>
      <c r="L1883" s="2"/>
    </row>
    <row r="1884" spans="2:12" ht="13.2" x14ac:dyDescent="0.25">
      <c r="B1884" s="2"/>
      <c r="C1884" s="2"/>
      <c r="D1884" s="2"/>
      <c r="E1884" s="2"/>
      <c r="F1884" s="2"/>
      <c r="G1884" s="2"/>
      <c r="H1884" s="2"/>
      <c r="I1884" s="2"/>
      <c r="J1884" s="2"/>
      <c r="K1884" s="2"/>
      <c r="L1884" s="2"/>
    </row>
    <row r="1885" spans="2:12" ht="13.2" x14ac:dyDescent="0.25">
      <c r="B1885" s="2"/>
      <c r="C1885" s="2"/>
      <c r="D1885" s="2"/>
      <c r="E1885" s="2"/>
      <c r="F1885" s="2"/>
      <c r="G1885" s="2"/>
      <c r="H1885" s="2"/>
      <c r="I1885" s="2"/>
      <c r="J1885" s="2"/>
      <c r="K1885" s="2"/>
      <c r="L1885" s="2"/>
    </row>
    <row r="1886" spans="2:12" ht="13.2" x14ac:dyDescent="0.25">
      <c r="B1886" s="2"/>
      <c r="C1886" s="2"/>
      <c r="D1886" s="2"/>
      <c r="E1886" s="2"/>
      <c r="F1886" s="2"/>
      <c r="G1886" s="2"/>
      <c r="H1886" s="2"/>
      <c r="I1886" s="2"/>
      <c r="J1886" s="2"/>
      <c r="K1886" s="2"/>
      <c r="L1886" s="2"/>
    </row>
    <row r="1887" spans="2:12" ht="13.2" x14ac:dyDescent="0.25">
      <c r="B1887" s="2"/>
      <c r="C1887" s="2"/>
      <c r="D1887" s="2"/>
      <c r="E1887" s="2"/>
      <c r="F1887" s="2"/>
      <c r="G1887" s="2"/>
      <c r="H1887" s="2"/>
      <c r="I1887" s="2"/>
      <c r="J1887" s="2"/>
      <c r="K1887" s="2"/>
      <c r="L1887" s="2"/>
    </row>
    <row r="1888" spans="2:12" ht="13.2" x14ac:dyDescent="0.25">
      <c r="B1888" s="2"/>
      <c r="C1888" s="2"/>
      <c r="D1888" s="2"/>
      <c r="E1888" s="2"/>
      <c r="F1888" s="2"/>
      <c r="G1888" s="2"/>
      <c r="H1888" s="2"/>
      <c r="I1888" s="2"/>
      <c r="J1888" s="2"/>
      <c r="K1888" s="2"/>
      <c r="L1888" s="2"/>
    </row>
    <row r="1889" spans="2:12" ht="13.2" x14ac:dyDescent="0.25">
      <c r="B1889" s="2"/>
      <c r="C1889" s="2"/>
      <c r="D1889" s="2"/>
      <c r="E1889" s="2"/>
      <c r="F1889" s="2"/>
      <c r="G1889" s="2"/>
      <c r="H1889" s="2"/>
      <c r="I1889" s="2"/>
      <c r="J1889" s="2"/>
      <c r="K1889" s="2"/>
      <c r="L1889" s="2"/>
    </row>
    <row r="1890" spans="2:12" ht="13.2" x14ac:dyDescent="0.25">
      <c r="B1890" s="2"/>
      <c r="C1890" s="2"/>
      <c r="D1890" s="2"/>
      <c r="E1890" s="2"/>
      <c r="F1890" s="2"/>
      <c r="G1890" s="2"/>
      <c r="H1890" s="2"/>
      <c r="I1890" s="2"/>
      <c r="J1890" s="2"/>
      <c r="K1890" s="2"/>
      <c r="L1890" s="2"/>
    </row>
    <row r="1891" spans="2:12" ht="13.2" x14ac:dyDescent="0.25">
      <c r="B1891" s="2"/>
      <c r="C1891" s="2"/>
      <c r="D1891" s="2"/>
      <c r="E1891" s="2"/>
      <c r="F1891" s="2"/>
      <c r="G1891" s="2"/>
      <c r="H1891" s="2"/>
      <c r="I1891" s="2"/>
      <c r="J1891" s="2"/>
      <c r="K1891" s="2"/>
      <c r="L1891" s="2"/>
    </row>
    <row r="1892" spans="2:12" ht="13.2" x14ac:dyDescent="0.25">
      <c r="B1892" s="2"/>
      <c r="C1892" s="2"/>
      <c r="D1892" s="2"/>
      <c r="E1892" s="2"/>
      <c r="F1892" s="2"/>
      <c r="G1892" s="2"/>
      <c r="H1892" s="2"/>
      <c r="I1892" s="2"/>
      <c r="J1892" s="2"/>
      <c r="K1892" s="2"/>
      <c r="L1892" s="2"/>
    </row>
    <row r="1893" spans="2:12" ht="13.2" x14ac:dyDescent="0.25">
      <c r="B1893" s="2"/>
      <c r="C1893" s="2"/>
      <c r="D1893" s="2"/>
      <c r="E1893" s="2"/>
      <c r="F1893" s="2"/>
      <c r="G1893" s="2"/>
      <c r="H1893" s="2"/>
      <c r="I1893" s="2"/>
      <c r="J1893" s="2"/>
      <c r="K1893" s="2"/>
      <c r="L1893" s="2"/>
    </row>
    <row r="1894" spans="2:12" ht="13.2" x14ac:dyDescent="0.25">
      <c r="B1894" s="2"/>
      <c r="C1894" s="2"/>
      <c r="D1894" s="2"/>
      <c r="E1894" s="2"/>
      <c r="F1894" s="2"/>
      <c r="G1894" s="2"/>
      <c r="H1894" s="2"/>
      <c r="I1894" s="2"/>
      <c r="J1894" s="2"/>
      <c r="K1894" s="2"/>
      <c r="L1894" s="2"/>
    </row>
    <row r="1895" spans="2:12" ht="13.2" x14ac:dyDescent="0.25">
      <c r="B1895" s="2"/>
      <c r="C1895" s="2"/>
      <c r="D1895" s="2"/>
      <c r="E1895" s="2"/>
      <c r="F1895" s="2"/>
      <c r="G1895" s="2"/>
      <c r="H1895" s="2"/>
      <c r="I1895" s="2"/>
      <c r="J1895" s="2"/>
      <c r="K1895" s="2"/>
      <c r="L1895" s="2"/>
    </row>
    <row r="1896" spans="2:12" ht="13.2" x14ac:dyDescent="0.25">
      <c r="B1896" s="2"/>
      <c r="C1896" s="2"/>
      <c r="D1896" s="2"/>
      <c r="E1896" s="2"/>
      <c r="F1896" s="2"/>
      <c r="G1896" s="2"/>
      <c r="H1896" s="2"/>
      <c r="I1896" s="2"/>
      <c r="J1896" s="2"/>
      <c r="K1896" s="2"/>
      <c r="L1896" s="2"/>
    </row>
    <row r="1897" spans="2:12" ht="13.2" x14ac:dyDescent="0.25">
      <c r="B1897" s="2"/>
      <c r="C1897" s="2"/>
      <c r="D1897" s="2"/>
      <c r="E1897" s="2"/>
      <c r="F1897" s="2"/>
      <c r="G1897" s="2"/>
      <c r="H1897" s="2"/>
      <c r="I1897" s="2"/>
      <c r="J1897" s="2"/>
      <c r="K1897" s="2"/>
      <c r="L1897" s="2"/>
    </row>
    <row r="1898" spans="2:12" ht="13.2" x14ac:dyDescent="0.25">
      <c r="B1898" s="2"/>
      <c r="C1898" s="2"/>
      <c r="D1898" s="2"/>
      <c r="E1898" s="2"/>
      <c r="F1898" s="2"/>
      <c r="G1898" s="2"/>
      <c r="H1898" s="2"/>
      <c r="I1898" s="2"/>
      <c r="J1898" s="2"/>
      <c r="K1898" s="2"/>
      <c r="L1898" s="2"/>
    </row>
    <row r="1899" spans="2:12" ht="13.2" x14ac:dyDescent="0.25">
      <c r="B1899" s="2"/>
      <c r="C1899" s="2"/>
      <c r="D1899" s="2"/>
      <c r="E1899" s="2"/>
      <c r="F1899" s="2"/>
      <c r="G1899" s="2"/>
      <c r="H1899" s="2"/>
      <c r="I1899" s="2"/>
      <c r="J1899" s="2"/>
      <c r="K1899" s="2"/>
      <c r="L1899" s="2"/>
    </row>
    <row r="1900" spans="2:12" ht="13.2" x14ac:dyDescent="0.25">
      <c r="B1900" s="2"/>
      <c r="C1900" s="2"/>
      <c r="D1900" s="2"/>
      <c r="E1900" s="2"/>
      <c r="F1900" s="2"/>
      <c r="G1900" s="2"/>
      <c r="H1900" s="2"/>
      <c r="I1900" s="2"/>
      <c r="J1900" s="2"/>
      <c r="K1900" s="2"/>
      <c r="L1900" s="2"/>
    </row>
    <row r="1901" spans="2:12" ht="13.2" x14ac:dyDescent="0.25">
      <c r="B1901" s="2"/>
      <c r="C1901" s="2"/>
      <c r="D1901" s="2"/>
      <c r="E1901" s="2"/>
      <c r="F1901" s="2"/>
      <c r="G1901" s="2"/>
      <c r="H1901" s="2"/>
      <c r="I1901" s="2"/>
      <c r="J1901" s="2"/>
      <c r="K1901" s="2"/>
      <c r="L1901" s="2"/>
    </row>
    <row r="1902" spans="2:12" ht="13.2" x14ac:dyDescent="0.25">
      <c r="B1902" s="2"/>
      <c r="C1902" s="2"/>
      <c r="D1902" s="2"/>
      <c r="E1902" s="2"/>
      <c r="F1902" s="2"/>
      <c r="G1902" s="2"/>
      <c r="H1902" s="2"/>
      <c r="I1902" s="2"/>
      <c r="J1902" s="2"/>
      <c r="K1902" s="2"/>
      <c r="L1902" s="2"/>
    </row>
    <row r="1903" spans="2:12" ht="13.2" x14ac:dyDescent="0.25">
      <c r="B1903" s="2"/>
      <c r="C1903" s="2"/>
      <c r="D1903" s="2"/>
      <c r="E1903" s="2"/>
      <c r="F1903" s="2"/>
      <c r="G1903" s="2"/>
      <c r="H1903" s="2"/>
      <c r="I1903" s="2"/>
      <c r="J1903" s="2"/>
      <c r="K1903" s="2"/>
      <c r="L1903" s="2"/>
    </row>
    <row r="1904" spans="2:12" ht="13.2" x14ac:dyDescent="0.25">
      <c r="B1904" s="2"/>
      <c r="C1904" s="2"/>
      <c r="D1904" s="2"/>
      <c r="E1904" s="2"/>
      <c r="F1904" s="2"/>
      <c r="G1904" s="2"/>
      <c r="H1904" s="2"/>
      <c r="I1904" s="2"/>
      <c r="J1904" s="2"/>
      <c r="K1904" s="2"/>
      <c r="L1904" s="2"/>
    </row>
    <row r="1905" spans="2:12" ht="13.2" x14ac:dyDescent="0.25">
      <c r="B1905" s="2"/>
      <c r="C1905" s="2"/>
      <c r="D1905" s="2"/>
      <c r="E1905" s="2"/>
      <c r="F1905" s="2"/>
      <c r="G1905" s="2"/>
      <c r="H1905" s="2"/>
      <c r="I1905" s="2"/>
      <c r="J1905" s="2"/>
      <c r="K1905" s="2"/>
      <c r="L1905" s="2"/>
    </row>
    <row r="1906" spans="2:12" ht="13.2" x14ac:dyDescent="0.25">
      <c r="B1906" s="2"/>
      <c r="C1906" s="2"/>
      <c r="D1906" s="2"/>
      <c r="E1906" s="2"/>
      <c r="F1906" s="2"/>
      <c r="G1906" s="2"/>
      <c r="H1906" s="2"/>
      <c r="I1906" s="2"/>
      <c r="J1906" s="2"/>
      <c r="K1906" s="2"/>
      <c r="L1906" s="2"/>
    </row>
    <row r="1907" spans="2:12" ht="13.2" x14ac:dyDescent="0.25">
      <c r="B1907" s="2"/>
      <c r="C1907" s="2"/>
      <c r="D1907" s="2"/>
      <c r="E1907" s="2"/>
      <c r="F1907" s="2"/>
      <c r="G1907" s="2"/>
      <c r="H1907" s="2"/>
      <c r="I1907" s="2"/>
      <c r="J1907" s="2"/>
      <c r="K1907" s="2"/>
      <c r="L1907" s="2"/>
    </row>
    <row r="1908" spans="2:12" ht="13.2" x14ac:dyDescent="0.25">
      <c r="B1908" s="2"/>
      <c r="C1908" s="2"/>
      <c r="D1908" s="2"/>
      <c r="E1908" s="2"/>
      <c r="F1908" s="2"/>
      <c r="G1908" s="2"/>
      <c r="H1908" s="2"/>
      <c r="I1908" s="2"/>
      <c r="J1908" s="2"/>
      <c r="K1908" s="2"/>
      <c r="L1908" s="2"/>
    </row>
    <row r="1909" spans="2:12" ht="13.2" x14ac:dyDescent="0.25">
      <c r="B1909" s="2"/>
      <c r="C1909" s="2"/>
      <c r="D1909" s="2"/>
      <c r="E1909" s="2"/>
      <c r="F1909" s="2"/>
      <c r="G1909" s="2"/>
      <c r="H1909" s="2"/>
      <c r="I1909" s="2"/>
      <c r="J1909" s="2"/>
      <c r="K1909" s="2"/>
      <c r="L1909" s="2"/>
    </row>
    <row r="1910" spans="2:12" ht="13.2" x14ac:dyDescent="0.25">
      <c r="B1910" s="2"/>
      <c r="C1910" s="2"/>
      <c r="D1910" s="2"/>
      <c r="E1910" s="2"/>
      <c r="F1910" s="2"/>
      <c r="G1910" s="2"/>
      <c r="H1910" s="2"/>
      <c r="I1910" s="2"/>
      <c r="J1910" s="2"/>
      <c r="K1910" s="2"/>
      <c r="L1910" s="2"/>
    </row>
    <row r="1911" spans="2:12" ht="13.2" x14ac:dyDescent="0.25">
      <c r="B1911" s="2"/>
      <c r="C1911" s="2"/>
      <c r="D1911" s="2"/>
      <c r="E1911" s="2"/>
      <c r="F1911" s="2"/>
      <c r="G1911" s="2"/>
      <c r="H1911" s="2"/>
      <c r="I1911" s="2"/>
      <c r="J1911" s="2"/>
      <c r="K1911" s="2"/>
      <c r="L1911" s="2"/>
    </row>
    <row r="1912" spans="2:12" ht="13.2" x14ac:dyDescent="0.25">
      <c r="B1912" s="2"/>
      <c r="C1912" s="2"/>
      <c r="D1912" s="2"/>
      <c r="E1912" s="2"/>
      <c r="F1912" s="2"/>
      <c r="G1912" s="2"/>
      <c r="H1912" s="2"/>
      <c r="I1912" s="2"/>
      <c r="J1912" s="2"/>
      <c r="K1912" s="2"/>
      <c r="L1912" s="2"/>
    </row>
    <row r="1913" spans="2:12" ht="13.2" x14ac:dyDescent="0.25">
      <c r="B1913" s="2"/>
      <c r="C1913" s="2"/>
      <c r="D1913" s="2"/>
      <c r="E1913" s="2"/>
      <c r="F1913" s="2"/>
      <c r="G1913" s="2"/>
      <c r="H1913" s="2"/>
      <c r="I1913" s="2"/>
      <c r="J1913" s="2"/>
      <c r="K1913" s="2"/>
      <c r="L1913" s="2"/>
    </row>
    <row r="1914" spans="2:12" ht="13.2" x14ac:dyDescent="0.25">
      <c r="B1914" s="2"/>
      <c r="C1914" s="2"/>
      <c r="D1914" s="2"/>
      <c r="E1914" s="2"/>
      <c r="F1914" s="2"/>
      <c r="G1914" s="2"/>
      <c r="H1914" s="2"/>
      <c r="I1914" s="2"/>
      <c r="J1914" s="2"/>
      <c r="K1914" s="2"/>
      <c r="L1914" s="2"/>
    </row>
    <row r="1915" spans="2:12" ht="13.2" x14ac:dyDescent="0.25">
      <c r="B1915" s="2"/>
      <c r="C1915" s="2"/>
      <c r="D1915" s="2"/>
      <c r="E1915" s="2"/>
      <c r="F1915" s="2"/>
      <c r="G1915" s="2"/>
      <c r="H1915" s="2"/>
      <c r="I1915" s="2"/>
      <c r="J1915" s="2"/>
      <c r="K1915" s="2"/>
      <c r="L1915" s="2"/>
    </row>
    <row r="1916" spans="2:12" ht="13.2" x14ac:dyDescent="0.25">
      <c r="B1916" s="2"/>
      <c r="C1916" s="2"/>
      <c r="D1916" s="2"/>
      <c r="E1916" s="2"/>
      <c r="F1916" s="2"/>
      <c r="G1916" s="2"/>
      <c r="H1916" s="2"/>
      <c r="I1916" s="2"/>
      <c r="J1916" s="2"/>
      <c r="K1916" s="2"/>
      <c r="L1916" s="2"/>
    </row>
    <row r="1917" spans="2:12" ht="13.2" x14ac:dyDescent="0.25">
      <c r="B1917" s="2"/>
      <c r="C1917" s="2"/>
      <c r="D1917" s="2"/>
      <c r="E1917" s="2"/>
      <c r="F1917" s="2"/>
      <c r="G1917" s="2"/>
      <c r="H1917" s="2"/>
      <c r="I1917" s="2"/>
      <c r="J1917" s="2"/>
      <c r="K1917" s="2"/>
      <c r="L1917" s="2"/>
    </row>
    <row r="1918" spans="2:12" ht="13.2" x14ac:dyDescent="0.25">
      <c r="B1918" s="2"/>
      <c r="C1918" s="2"/>
      <c r="D1918" s="2"/>
      <c r="E1918" s="2"/>
      <c r="F1918" s="2"/>
      <c r="G1918" s="2"/>
      <c r="H1918" s="2"/>
      <c r="I1918" s="2"/>
      <c r="J1918" s="2"/>
      <c r="K1918" s="2"/>
      <c r="L1918" s="2"/>
    </row>
    <row r="1919" spans="2:12" ht="13.2" x14ac:dyDescent="0.25">
      <c r="B1919" s="2"/>
      <c r="C1919" s="2"/>
      <c r="D1919" s="2"/>
      <c r="E1919" s="2"/>
      <c r="F1919" s="2"/>
      <c r="G1919" s="2"/>
      <c r="H1919" s="2"/>
      <c r="I1919" s="2"/>
      <c r="J1919" s="2"/>
      <c r="K1919" s="2"/>
      <c r="L1919" s="2"/>
    </row>
    <row r="1920" spans="2:12" ht="13.2" x14ac:dyDescent="0.25">
      <c r="B1920" s="2"/>
      <c r="C1920" s="2"/>
      <c r="D1920" s="2"/>
      <c r="E1920" s="2"/>
      <c r="F1920" s="2"/>
      <c r="G1920" s="2"/>
      <c r="H1920" s="2"/>
      <c r="I1920" s="2"/>
      <c r="J1920" s="2"/>
      <c r="K1920" s="2"/>
      <c r="L1920" s="2"/>
    </row>
    <row r="1921" spans="2:12" ht="13.2" x14ac:dyDescent="0.25">
      <c r="B1921" s="2"/>
      <c r="C1921" s="2"/>
      <c r="D1921" s="2"/>
      <c r="E1921" s="2"/>
      <c r="F1921" s="2"/>
      <c r="G1921" s="2"/>
      <c r="H1921" s="2"/>
      <c r="I1921" s="2"/>
      <c r="J1921" s="2"/>
      <c r="K1921" s="2"/>
      <c r="L1921" s="2"/>
    </row>
    <row r="1922" spans="2:12" ht="13.2" x14ac:dyDescent="0.25">
      <c r="B1922" s="2"/>
      <c r="C1922" s="2"/>
      <c r="D1922" s="2"/>
      <c r="E1922" s="2"/>
      <c r="F1922" s="2"/>
      <c r="G1922" s="2"/>
      <c r="H1922" s="2"/>
      <c r="I1922" s="2"/>
      <c r="J1922" s="2"/>
      <c r="K1922" s="2"/>
      <c r="L1922" s="2"/>
    </row>
    <row r="1923" spans="2:12" ht="13.2" x14ac:dyDescent="0.25">
      <c r="B1923" s="2"/>
      <c r="C1923" s="2"/>
      <c r="D1923" s="2"/>
      <c r="E1923" s="2"/>
      <c r="F1923" s="2"/>
      <c r="G1923" s="2"/>
      <c r="H1923" s="2"/>
      <c r="I1923" s="2"/>
      <c r="J1923" s="2"/>
      <c r="K1923" s="2"/>
      <c r="L1923" s="2"/>
    </row>
    <row r="1924" spans="2:12" ht="13.2" x14ac:dyDescent="0.25">
      <c r="B1924" s="2"/>
      <c r="C1924" s="2"/>
      <c r="D1924" s="2"/>
      <c r="E1924" s="2"/>
      <c r="F1924" s="2"/>
      <c r="G1924" s="2"/>
      <c r="H1924" s="2"/>
      <c r="I1924" s="2"/>
      <c r="J1924" s="2"/>
      <c r="K1924" s="2"/>
      <c r="L1924" s="2"/>
    </row>
    <row r="1925" spans="2:12" ht="13.2" x14ac:dyDescent="0.25">
      <c r="B1925" s="2"/>
      <c r="C1925" s="2"/>
      <c r="D1925" s="2"/>
      <c r="E1925" s="2"/>
      <c r="F1925" s="2"/>
      <c r="G1925" s="2"/>
      <c r="H1925" s="2"/>
      <c r="I1925" s="2"/>
      <c r="J1925" s="2"/>
      <c r="K1925" s="2"/>
      <c r="L1925" s="2"/>
    </row>
    <row r="1926" spans="2:12" ht="13.2" x14ac:dyDescent="0.25">
      <c r="B1926" s="2"/>
      <c r="C1926" s="2"/>
      <c r="D1926" s="2"/>
      <c r="E1926" s="2"/>
      <c r="F1926" s="2"/>
      <c r="G1926" s="2"/>
      <c r="H1926" s="2"/>
      <c r="I1926" s="2"/>
      <c r="J1926" s="2"/>
      <c r="K1926" s="2"/>
      <c r="L1926" s="2"/>
    </row>
    <row r="1927" spans="2:12" ht="13.2" x14ac:dyDescent="0.25">
      <c r="B1927" s="2"/>
      <c r="C1927" s="2"/>
      <c r="D1927" s="2"/>
      <c r="E1927" s="2"/>
      <c r="F1927" s="2"/>
      <c r="G1927" s="2"/>
      <c r="H1927" s="2"/>
      <c r="I1927" s="2"/>
      <c r="J1927" s="2"/>
      <c r="K1927" s="2"/>
      <c r="L1927" s="2"/>
    </row>
    <row r="1928" spans="2:12" ht="13.2" x14ac:dyDescent="0.25">
      <c r="B1928" s="2"/>
      <c r="C1928" s="2"/>
      <c r="D1928" s="2"/>
      <c r="E1928" s="2"/>
      <c r="F1928" s="2"/>
      <c r="G1928" s="2"/>
      <c r="H1928" s="2"/>
      <c r="I1928" s="2"/>
      <c r="J1928" s="2"/>
      <c r="K1928" s="2"/>
      <c r="L1928" s="2"/>
    </row>
    <row r="1929" spans="2:12" ht="13.2" x14ac:dyDescent="0.25">
      <c r="B1929" s="2"/>
      <c r="C1929" s="2"/>
      <c r="D1929" s="2"/>
      <c r="E1929" s="2"/>
      <c r="F1929" s="2"/>
      <c r="G1929" s="2"/>
      <c r="H1929" s="2"/>
      <c r="I1929" s="2"/>
      <c r="J1929" s="2"/>
      <c r="K1929" s="2"/>
      <c r="L1929" s="2"/>
    </row>
    <row r="1930" spans="2:12" ht="13.2" x14ac:dyDescent="0.25">
      <c r="B1930" s="2"/>
      <c r="C1930" s="2"/>
      <c r="D1930" s="2"/>
      <c r="E1930" s="2"/>
      <c r="F1930" s="2"/>
      <c r="G1930" s="2"/>
      <c r="H1930" s="2"/>
      <c r="I1930" s="2"/>
      <c r="J1930" s="2"/>
      <c r="K1930" s="2"/>
      <c r="L1930" s="2"/>
    </row>
    <row r="1931" spans="2:12" ht="13.2" x14ac:dyDescent="0.25">
      <c r="B1931" s="2"/>
      <c r="C1931" s="2"/>
      <c r="D1931" s="2"/>
      <c r="E1931" s="2"/>
      <c r="F1931" s="2"/>
      <c r="G1931" s="2"/>
      <c r="H1931" s="2"/>
      <c r="I1931" s="2"/>
      <c r="J1931" s="2"/>
      <c r="K1931" s="2"/>
      <c r="L1931" s="2"/>
    </row>
    <row r="1932" spans="2:12" ht="13.2" x14ac:dyDescent="0.25">
      <c r="B1932" s="2"/>
      <c r="C1932" s="2"/>
      <c r="D1932" s="2"/>
      <c r="E1932" s="2"/>
      <c r="F1932" s="2"/>
      <c r="G1932" s="2"/>
      <c r="H1932" s="2"/>
      <c r="I1932" s="2"/>
      <c r="J1932" s="2"/>
      <c r="K1932" s="2"/>
      <c r="L1932" s="2"/>
    </row>
    <row r="1933" spans="2:12" ht="13.2" x14ac:dyDescent="0.25">
      <c r="B1933" s="2"/>
      <c r="C1933" s="2"/>
      <c r="D1933" s="2"/>
      <c r="E1933" s="2"/>
      <c r="F1933" s="2"/>
      <c r="G1933" s="2"/>
      <c r="H1933" s="2"/>
      <c r="I1933" s="2"/>
      <c r="J1933" s="2"/>
      <c r="K1933" s="2"/>
      <c r="L1933" s="2"/>
    </row>
    <row r="1934" spans="2:12" ht="13.2" x14ac:dyDescent="0.25">
      <c r="B1934" s="2"/>
      <c r="C1934" s="2"/>
      <c r="D1934" s="2"/>
      <c r="E1934" s="2"/>
      <c r="F1934" s="2"/>
      <c r="G1934" s="2"/>
      <c r="H1934" s="2"/>
      <c r="I1934" s="2"/>
      <c r="J1934" s="2"/>
      <c r="K1934" s="2"/>
      <c r="L1934" s="2"/>
    </row>
    <row r="1935" spans="2:12" ht="13.2" x14ac:dyDescent="0.25">
      <c r="B1935" s="2"/>
      <c r="C1935" s="2"/>
      <c r="D1935" s="2"/>
      <c r="E1935" s="2"/>
      <c r="F1935" s="2"/>
      <c r="G1935" s="2"/>
      <c r="H1935" s="2"/>
      <c r="I1935" s="2"/>
      <c r="J1935" s="2"/>
      <c r="K1935" s="2"/>
      <c r="L1935" s="2"/>
    </row>
    <row r="1936" spans="2:12" ht="13.2" x14ac:dyDescent="0.25">
      <c r="B1936" s="2"/>
      <c r="C1936" s="2"/>
      <c r="D1936" s="2"/>
      <c r="E1936" s="2"/>
      <c r="F1936" s="2"/>
      <c r="G1936" s="2"/>
      <c r="H1936" s="2"/>
      <c r="I1936" s="2"/>
      <c r="J1936" s="2"/>
      <c r="K1936" s="2"/>
      <c r="L1936" s="2"/>
    </row>
    <row r="1937" spans="2:12" ht="13.2" x14ac:dyDescent="0.25">
      <c r="B1937" s="2"/>
      <c r="C1937" s="2"/>
      <c r="D1937" s="2"/>
      <c r="E1937" s="2"/>
      <c r="F1937" s="2"/>
      <c r="G1937" s="2"/>
      <c r="H1937" s="2"/>
      <c r="I1937" s="2"/>
      <c r="J1937" s="2"/>
      <c r="K1937" s="2"/>
      <c r="L1937" s="2"/>
    </row>
    <row r="1938" spans="2:12" ht="13.2" x14ac:dyDescent="0.25">
      <c r="B1938" s="2"/>
      <c r="C1938" s="2"/>
      <c r="D1938" s="2"/>
      <c r="E1938" s="2"/>
      <c r="F1938" s="2"/>
      <c r="G1938" s="2"/>
      <c r="H1938" s="2"/>
      <c r="I1938" s="2"/>
      <c r="J1938" s="2"/>
      <c r="K1938" s="2"/>
      <c r="L1938" s="2"/>
    </row>
    <row r="1939" spans="2:12" ht="13.2" x14ac:dyDescent="0.25">
      <c r="B1939" s="2"/>
      <c r="C1939" s="2"/>
      <c r="D1939" s="2"/>
      <c r="E1939" s="2"/>
      <c r="F1939" s="2"/>
      <c r="G1939" s="2"/>
      <c r="H1939" s="2"/>
      <c r="I1939" s="2"/>
      <c r="J1939" s="2"/>
      <c r="K1939" s="2"/>
      <c r="L1939" s="2"/>
    </row>
    <row r="1940" spans="2:12" ht="13.2" x14ac:dyDescent="0.25">
      <c r="B1940" s="2"/>
      <c r="C1940" s="2"/>
      <c r="D1940" s="2"/>
      <c r="E1940" s="2"/>
      <c r="F1940" s="2"/>
      <c r="G1940" s="2"/>
      <c r="H1940" s="2"/>
      <c r="I1940" s="2"/>
      <c r="J1940" s="2"/>
      <c r="K1940" s="2"/>
      <c r="L1940" s="2"/>
    </row>
    <row r="1941" spans="2:12" ht="13.2" x14ac:dyDescent="0.25">
      <c r="B1941" s="2"/>
      <c r="C1941" s="2"/>
      <c r="D1941" s="2"/>
      <c r="E1941" s="2"/>
      <c r="F1941" s="2"/>
      <c r="G1941" s="2"/>
      <c r="H1941" s="2"/>
      <c r="I1941" s="2"/>
      <c r="J1941" s="2"/>
      <c r="K1941" s="2"/>
      <c r="L1941" s="2"/>
    </row>
    <row r="1942" spans="2:12" ht="13.2" x14ac:dyDescent="0.25">
      <c r="B1942" s="2"/>
      <c r="C1942" s="2"/>
      <c r="D1942" s="2"/>
      <c r="E1942" s="2"/>
      <c r="F1942" s="2"/>
      <c r="G1942" s="2"/>
      <c r="H1942" s="2"/>
      <c r="I1942" s="2"/>
      <c r="J1942" s="2"/>
      <c r="K1942" s="2"/>
      <c r="L1942" s="2"/>
    </row>
    <row r="1943" spans="2:12" ht="13.2" x14ac:dyDescent="0.25">
      <c r="B1943" s="2"/>
      <c r="C1943" s="2"/>
      <c r="D1943" s="2"/>
      <c r="E1943" s="2"/>
      <c r="F1943" s="2"/>
      <c r="G1943" s="2"/>
      <c r="H1943" s="2"/>
      <c r="I1943" s="2"/>
      <c r="J1943" s="2"/>
      <c r="K1943" s="2"/>
      <c r="L1943" s="2"/>
    </row>
    <row r="1944" spans="2:12" ht="13.2" x14ac:dyDescent="0.25">
      <c r="B1944" s="2"/>
      <c r="C1944" s="2"/>
      <c r="D1944" s="2"/>
      <c r="E1944" s="2"/>
      <c r="F1944" s="2"/>
      <c r="G1944" s="2"/>
      <c r="H1944" s="2"/>
      <c r="I1944" s="2"/>
      <c r="J1944" s="2"/>
      <c r="K1944" s="2"/>
      <c r="L1944" s="2"/>
    </row>
    <row r="1945" spans="2:12" ht="13.2" x14ac:dyDescent="0.25">
      <c r="B1945" s="2"/>
      <c r="C1945" s="2"/>
      <c r="D1945" s="2"/>
      <c r="E1945" s="2"/>
      <c r="F1945" s="2"/>
      <c r="G1945" s="2"/>
      <c r="H1945" s="2"/>
      <c r="I1945" s="2"/>
      <c r="J1945" s="2"/>
      <c r="K1945" s="2"/>
      <c r="L1945" s="2"/>
    </row>
    <row r="1946" spans="2:12" ht="13.2" x14ac:dyDescent="0.25">
      <c r="B1946" s="2"/>
      <c r="C1946" s="2"/>
      <c r="D1946" s="2"/>
      <c r="E1946" s="2"/>
      <c r="F1946" s="2"/>
      <c r="G1946" s="2"/>
      <c r="H1946" s="2"/>
      <c r="I1946" s="2"/>
      <c r="J1946" s="2"/>
      <c r="K1946" s="2"/>
      <c r="L1946" s="2"/>
    </row>
    <row r="1947" spans="2:12" ht="13.2" x14ac:dyDescent="0.25">
      <c r="B1947" s="2"/>
      <c r="C1947" s="2"/>
      <c r="D1947" s="2"/>
      <c r="E1947" s="2"/>
      <c r="F1947" s="2"/>
      <c r="G1947" s="2"/>
      <c r="H1947" s="2"/>
      <c r="I1947" s="2"/>
      <c r="J1947" s="2"/>
      <c r="K1947" s="2"/>
      <c r="L1947" s="2"/>
    </row>
    <row r="1948" spans="2:12" ht="13.2" x14ac:dyDescent="0.25">
      <c r="B1948" s="2"/>
      <c r="C1948" s="2"/>
      <c r="D1948" s="2"/>
      <c r="E1948" s="2"/>
      <c r="F1948" s="2"/>
      <c r="G1948" s="2"/>
      <c r="H1948" s="2"/>
      <c r="I1948" s="2"/>
      <c r="J1948" s="2"/>
      <c r="K1948" s="2"/>
      <c r="L1948" s="2"/>
    </row>
    <row r="1949" spans="2:12" ht="13.2" x14ac:dyDescent="0.25">
      <c r="B1949" s="2"/>
      <c r="C1949" s="2"/>
      <c r="D1949" s="2"/>
      <c r="E1949" s="2"/>
      <c r="F1949" s="2"/>
      <c r="G1949" s="2"/>
      <c r="H1949" s="2"/>
      <c r="I1949" s="2"/>
      <c r="J1949" s="2"/>
      <c r="K1949" s="2"/>
      <c r="L1949" s="2"/>
    </row>
    <row r="1950" spans="2:12" ht="13.2" x14ac:dyDescent="0.25">
      <c r="B1950" s="2"/>
      <c r="C1950" s="2"/>
      <c r="D1950" s="2"/>
      <c r="E1950" s="2"/>
      <c r="F1950" s="2"/>
      <c r="G1950" s="2"/>
      <c r="H1950" s="2"/>
      <c r="I1950" s="2"/>
      <c r="J1950" s="2"/>
      <c r="K1950" s="2"/>
      <c r="L1950" s="2"/>
    </row>
    <row r="1951" spans="2:12" ht="13.2" x14ac:dyDescent="0.25">
      <c r="B1951" s="2"/>
      <c r="C1951" s="2"/>
      <c r="D1951" s="2"/>
      <c r="E1951" s="2"/>
      <c r="F1951" s="2"/>
      <c r="G1951" s="2"/>
      <c r="H1951" s="2"/>
      <c r="I1951" s="2"/>
      <c r="J1951" s="2"/>
      <c r="K1951" s="2"/>
      <c r="L1951" s="2"/>
    </row>
    <row r="1952" spans="2:12" ht="13.2" x14ac:dyDescent="0.25">
      <c r="B1952" s="2"/>
      <c r="C1952" s="2"/>
      <c r="D1952" s="2"/>
      <c r="E1952" s="2"/>
      <c r="F1952" s="2"/>
      <c r="G1952" s="2"/>
      <c r="H1952" s="2"/>
      <c r="I1952" s="2"/>
      <c r="J1952" s="2"/>
      <c r="K1952" s="2"/>
      <c r="L1952" s="2"/>
    </row>
    <row r="1953" spans="2:12" ht="13.2" x14ac:dyDescent="0.25">
      <c r="B1953" s="2"/>
      <c r="C1953" s="2"/>
      <c r="D1953" s="2"/>
      <c r="E1953" s="2"/>
      <c r="F1953" s="2"/>
      <c r="G1953" s="2"/>
      <c r="H1953" s="2"/>
      <c r="I1953" s="2"/>
      <c r="J1953" s="2"/>
      <c r="K1953" s="2"/>
      <c r="L1953" s="2"/>
    </row>
    <row r="1954" spans="2:12" ht="13.2" x14ac:dyDescent="0.25">
      <c r="B1954" s="2"/>
      <c r="C1954" s="2"/>
      <c r="D1954" s="2"/>
      <c r="E1954" s="2"/>
      <c r="F1954" s="2"/>
      <c r="G1954" s="2"/>
      <c r="H1954" s="2"/>
      <c r="I1954" s="2"/>
      <c r="J1954" s="2"/>
      <c r="K1954" s="2"/>
      <c r="L1954" s="2"/>
    </row>
    <row r="1955" spans="2:12" ht="13.2" x14ac:dyDescent="0.25">
      <c r="B1955" s="2"/>
      <c r="C1955" s="2"/>
      <c r="D1955" s="2"/>
      <c r="E1955" s="2"/>
      <c r="F1955" s="2"/>
      <c r="G1955" s="2"/>
      <c r="H1955" s="2"/>
      <c r="I1955" s="2"/>
      <c r="J1955" s="2"/>
      <c r="K1955" s="2"/>
      <c r="L1955" s="2"/>
    </row>
    <row r="1956" spans="2:12" ht="13.2" x14ac:dyDescent="0.25">
      <c r="B1956" s="2"/>
      <c r="C1956" s="2"/>
      <c r="D1956" s="2"/>
      <c r="E1956" s="2"/>
      <c r="F1956" s="2"/>
      <c r="G1956" s="2"/>
      <c r="H1956" s="2"/>
      <c r="I1956" s="2"/>
      <c r="J1956" s="2"/>
      <c r="K1956" s="2"/>
      <c r="L1956" s="2"/>
    </row>
    <row r="1957" spans="2:12" ht="13.2" x14ac:dyDescent="0.25">
      <c r="B1957" s="2"/>
      <c r="C1957" s="2"/>
      <c r="D1957" s="2"/>
      <c r="E1957" s="2"/>
      <c r="F1957" s="2"/>
      <c r="G1957" s="2"/>
      <c r="H1957" s="2"/>
      <c r="I1957" s="2"/>
      <c r="J1957" s="2"/>
      <c r="K1957" s="2"/>
      <c r="L1957" s="2"/>
    </row>
    <row r="1958" spans="2:12" ht="13.2" x14ac:dyDescent="0.25">
      <c r="B1958" s="2"/>
      <c r="C1958" s="2"/>
      <c r="D1958" s="2"/>
      <c r="E1958" s="2"/>
      <c r="F1958" s="2"/>
      <c r="G1958" s="2"/>
      <c r="H1958" s="2"/>
      <c r="I1958" s="2"/>
      <c r="J1958" s="2"/>
      <c r="K1958" s="2"/>
      <c r="L1958" s="2"/>
    </row>
    <row r="1959" spans="2:12" ht="13.2" x14ac:dyDescent="0.25">
      <c r="B1959" s="2"/>
      <c r="C1959" s="2"/>
      <c r="D1959" s="2"/>
      <c r="E1959" s="2"/>
      <c r="F1959" s="2"/>
      <c r="G1959" s="2"/>
      <c r="H1959" s="2"/>
      <c r="I1959" s="2"/>
      <c r="J1959" s="2"/>
      <c r="K1959" s="2"/>
      <c r="L1959" s="2"/>
    </row>
    <row r="1960" spans="2:12" ht="13.2" x14ac:dyDescent="0.25">
      <c r="B1960" s="2"/>
      <c r="C1960" s="2"/>
      <c r="D1960" s="2"/>
      <c r="E1960" s="2"/>
      <c r="F1960" s="2"/>
      <c r="G1960" s="2"/>
      <c r="H1960" s="2"/>
      <c r="I1960" s="2"/>
      <c r="J1960" s="2"/>
      <c r="K1960" s="2"/>
      <c r="L1960" s="2"/>
    </row>
    <row r="1961" spans="2:12" ht="13.2" x14ac:dyDescent="0.25">
      <c r="B1961" s="2"/>
      <c r="C1961" s="2"/>
      <c r="D1961" s="2"/>
      <c r="E1961" s="2"/>
      <c r="F1961" s="2"/>
      <c r="G1961" s="2"/>
      <c r="H1961" s="2"/>
      <c r="I1961" s="2"/>
      <c r="J1961" s="2"/>
      <c r="K1961" s="2"/>
      <c r="L1961" s="2"/>
    </row>
    <row r="1962" spans="2:12" ht="13.2" x14ac:dyDescent="0.25">
      <c r="B1962" s="2"/>
      <c r="C1962" s="2"/>
      <c r="D1962" s="2"/>
      <c r="E1962" s="2"/>
      <c r="F1962" s="2"/>
      <c r="G1962" s="2"/>
      <c r="H1962" s="2"/>
      <c r="I1962" s="2"/>
      <c r="J1962" s="2"/>
      <c r="K1962" s="2"/>
      <c r="L1962" s="2"/>
    </row>
    <row r="1963" spans="2:12" ht="13.2" x14ac:dyDescent="0.25">
      <c r="B1963" s="2"/>
      <c r="C1963" s="2"/>
      <c r="D1963" s="2"/>
      <c r="E1963" s="2"/>
      <c r="F1963" s="2"/>
      <c r="G1963" s="2"/>
      <c r="H1963" s="2"/>
      <c r="I1963" s="2"/>
      <c r="J1963" s="2"/>
      <c r="K1963" s="2"/>
      <c r="L1963" s="2"/>
    </row>
    <row r="1964" spans="2:12" ht="13.2" x14ac:dyDescent="0.25">
      <c r="B1964" s="2"/>
      <c r="C1964" s="2"/>
      <c r="D1964" s="2"/>
      <c r="E1964" s="2"/>
      <c r="F1964" s="2"/>
      <c r="G1964" s="2"/>
      <c r="H1964" s="2"/>
      <c r="I1964" s="2"/>
      <c r="J1964" s="2"/>
      <c r="K1964" s="2"/>
      <c r="L1964" s="2"/>
    </row>
    <row r="1965" spans="2:12" ht="13.2" x14ac:dyDescent="0.25">
      <c r="B1965" s="2"/>
      <c r="C1965" s="2"/>
      <c r="D1965" s="2"/>
      <c r="E1965" s="2"/>
      <c r="F1965" s="2"/>
      <c r="G1965" s="2"/>
      <c r="H1965" s="2"/>
      <c r="I1965" s="2"/>
      <c r="J1965" s="2"/>
      <c r="K1965" s="2"/>
      <c r="L1965" s="2"/>
    </row>
    <row r="1966" spans="2:12" ht="13.2" x14ac:dyDescent="0.25">
      <c r="B1966" s="2"/>
      <c r="C1966" s="2"/>
      <c r="D1966" s="2"/>
      <c r="E1966" s="2"/>
      <c r="F1966" s="2"/>
      <c r="G1966" s="2"/>
      <c r="H1966" s="2"/>
      <c r="I1966" s="2"/>
      <c r="J1966" s="2"/>
      <c r="K1966" s="2"/>
      <c r="L1966" s="2"/>
    </row>
    <row r="1967" spans="2:12" ht="13.2" x14ac:dyDescent="0.25">
      <c r="B1967" s="2"/>
      <c r="C1967" s="2"/>
      <c r="D1967" s="2"/>
      <c r="E1967" s="2"/>
      <c r="F1967" s="2"/>
      <c r="G1967" s="2"/>
      <c r="H1967" s="2"/>
      <c r="I1967" s="2"/>
      <c r="J1967" s="2"/>
      <c r="K1967" s="2"/>
      <c r="L1967" s="2"/>
    </row>
    <row r="1968" spans="2:12" ht="13.2" x14ac:dyDescent="0.25">
      <c r="B1968" s="2"/>
      <c r="C1968" s="2"/>
      <c r="D1968" s="2"/>
      <c r="E1968" s="2"/>
      <c r="F1968" s="2"/>
      <c r="G1968" s="2"/>
      <c r="H1968" s="2"/>
      <c r="I1968" s="2"/>
      <c r="J1968" s="2"/>
      <c r="K1968" s="2"/>
      <c r="L1968" s="2"/>
    </row>
    <row r="1969" spans="2:12" ht="13.2" x14ac:dyDescent="0.25">
      <c r="B1969" s="2"/>
      <c r="C1969" s="2"/>
      <c r="D1969" s="2"/>
      <c r="E1969" s="2"/>
      <c r="F1969" s="2"/>
      <c r="G1969" s="2"/>
      <c r="H1969" s="2"/>
      <c r="I1969" s="2"/>
      <c r="J1969" s="2"/>
      <c r="K1969" s="2"/>
      <c r="L1969" s="2"/>
    </row>
    <row r="1970" spans="2:12" ht="13.2" x14ac:dyDescent="0.25">
      <c r="B1970" s="2"/>
      <c r="C1970" s="2"/>
      <c r="D1970" s="2"/>
      <c r="E1970" s="2"/>
      <c r="F1970" s="2"/>
      <c r="G1970" s="2"/>
      <c r="H1970" s="2"/>
      <c r="I1970" s="2"/>
      <c r="J1970" s="2"/>
      <c r="K1970" s="2"/>
      <c r="L1970" s="2"/>
    </row>
    <row r="1971" spans="2:12" ht="13.2" x14ac:dyDescent="0.25">
      <c r="B1971" s="2"/>
      <c r="C1971" s="2"/>
      <c r="D1971" s="2"/>
      <c r="E1971" s="2"/>
      <c r="F1971" s="2"/>
      <c r="G1971" s="2"/>
      <c r="H1971" s="2"/>
      <c r="I1971" s="2"/>
      <c r="J1971" s="2"/>
      <c r="K1971" s="2"/>
      <c r="L1971" s="2"/>
    </row>
    <row r="1972" spans="2:12" ht="13.2" x14ac:dyDescent="0.25">
      <c r="B1972" s="2"/>
      <c r="C1972" s="2"/>
      <c r="D1972" s="2"/>
      <c r="E1972" s="2"/>
      <c r="F1972" s="2"/>
      <c r="G1972" s="2"/>
      <c r="H1972" s="2"/>
      <c r="I1972" s="2"/>
      <c r="J1972" s="2"/>
      <c r="K1972" s="2"/>
      <c r="L1972" s="2"/>
    </row>
    <row r="1973" spans="2:12" ht="13.2" x14ac:dyDescent="0.25">
      <c r="B1973" s="2"/>
      <c r="C1973" s="2"/>
      <c r="D1973" s="2"/>
      <c r="E1973" s="2"/>
      <c r="F1973" s="2"/>
      <c r="G1973" s="2"/>
      <c r="H1973" s="2"/>
      <c r="I1973" s="2"/>
      <c r="J1973" s="2"/>
      <c r="K1973" s="2"/>
      <c r="L1973" s="2"/>
    </row>
    <row r="1974" spans="2:12" ht="13.2" x14ac:dyDescent="0.25">
      <c r="B1974" s="2"/>
      <c r="C1974" s="2"/>
      <c r="D1974" s="2"/>
      <c r="E1974" s="2"/>
      <c r="F1974" s="2"/>
      <c r="G1974" s="2"/>
      <c r="H1974" s="2"/>
      <c r="I1974" s="2"/>
      <c r="J1974" s="2"/>
      <c r="K1974" s="2"/>
      <c r="L1974" s="2"/>
    </row>
    <row r="1975" spans="2:12" ht="13.2" x14ac:dyDescent="0.25">
      <c r="B1975" s="2"/>
      <c r="C1975" s="2"/>
      <c r="D1975" s="2"/>
      <c r="E1975" s="2"/>
      <c r="F1975" s="2"/>
      <c r="G1975" s="2"/>
      <c r="H1975" s="2"/>
      <c r="I1975" s="2"/>
      <c r="J1975" s="2"/>
      <c r="K1975" s="2"/>
      <c r="L1975" s="2"/>
    </row>
    <row r="1976" spans="2:12" ht="13.2" x14ac:dyDescent="0.25">
      <c r="B1976" s="2"/>
      <c r="C1976" s="2"/>
      <c r="D1976" s="2"/>
      <c r="E1976" s="2"/>
      <c r="F1976" s="2"/>
      <c r="G1976" s="2"/>
      <c r="H1976" s="2"/>
      <c r="I1976" s="2"/>
      <c r="J1976" s="2"/>
      <c r="K1976" s="2"/>
      <c r="L1976" s="2"/>
    </row>
    <row r="1977" spans="2:12" ht="13.2" x14ac:dyDescent="0.25">
      <c r="B1977" s="2"/>
      <c r="C1977" s="2"/>
      <c r="D1977" s="2"/>
      <c r="E1977" s="2"/>
      <c r="F1977" s="2"/>
      <c r="G1977" s="2"/>
      <c r="H1977" s="2"/>
      <c r="I1977" s="2"/>
      <c r="J1977" s="2"/>
      <c r="K1977" s="2"/>
      <c r="L1977" s="2"/>
    </row>
    <row r="1978" spans="2:12" ht="13.2" x14ac:dyDescent="0.25">
      <c r="B1978" s="2"/>
      <c r="C1978" s="2"/>
      <c r="D1978" s="2"/>
      <c r="E1978" s="2"/>
      <c r="F1978" s="2"/>
      <c r="G1978" s="2"/>
      <c r="H1978" s="2"/>
      <c r="I1978" s="2"/>
      <c r="J1978" s="2"/>
      <c r="K1978" s="2"/>
      <c r="L1978" s="2"/>
    </row>
    <row r="1979" spans="2:12" ht="13.2" x14ac:dyDescent="0.25">
      <c r="B1979" s="2"/>
      <c r="C1979" s="2"/>
      <c r="D1979" s="2"/>
      <c r="E1979" s="2"/>
      <c r="F1979" s="2"/>
      <c r="G1979" s="2"/>
      <c r="H1979" s="2"/>
      <c r="I1979" s="2"/>
      <c r="J1979" s="2"/>
      <c r="K1979" s="2"/>
      <c r="L1979" s="2"/>
    </row>
    <row r="1980" spans="2:12" ht="13.2" x14ac:dyDescent="0.25">
      <c r="B1980" s="2"/>
      <c r="C1980" s="2"/>
      <c r="D1980" s="2"/>
      <c r="E1980" s="2"/>
      <c r="F1980" s="2"/>
      <c r="G1980" s="2"/>
      <c r="H1980" s="2"/>
      <c r="I1980" s="2"/>
      <c r="J1980" s="2"/>
      <c r="K1980" s="2"/>
      <c r="L1980" s="2"/>
    </row>
    <row r="1981" spans="2:12" ht="13.2" x14ac:dyDescent="0.25">
      <c r="B1981" s="2"/>
      <c r="C1981" s="2"/>
      <c r="D1981" s="2"/>
      <c r="E1981" s="2"/>
      <c r="F1981" s="2"/>
      <c r="G1981" s="2"/>
      <c r="H1981" s="2"/>
      <c r="I1981" s="2"/>
      <c r="J1981" s="2"/>
      <c r="K1981" s="2"/>
      <c r="L1981" s="2"/>
    </row>
    <row r="1982" spans="2:12" ht="13.2" x14ac:dyDescent="0.25">
      <c r="B1982" s="2"/>
      <c r="C1982" s="2"/>
      <c r="D1982" s="2"/>
      <c r="E1982" s="2"/>
      <c r="F1982" s="2"/>
      <c r="G1982" s="2"/>
      <c r="H1982" s="2"/>
      <c r="I1982" s="2"/>
      <c r="J1982" s="2"/>
      <c r="K1982" s="2"/>
      <c r="L1982" s="2"/>
    </row>
    <row r="1983" spans="2:12" ht="13.2" x14ac:dyDescent="0.25">
      <c r="B1983" s="2"/>
      <c r="C1983" s="2"/>
      <c r="D1983" s="2"/>
      <c r="E1983" s="2"/>
      <c r="F1983" s="2"/>
      <c r="G1983" s="2"/>
      <c r="H1983" s="2"/>
      <c r="I1983" s="2"/>
      <c r="J1983" s="2"/>
      <c r="K1983" s="2"/>
      <c r="L1983" s="2"/>
    </row>
    <row r="1984" spans="2:12" ht="13.2" x14ac:dyDescent="0.25">
      <c r="B1984" s="2"/>
      <c r="C1984" s="2"/>
      <c r="D1984" s="2"/>
      <c r="E1984" s="2"/>
      <c r="F1984" s="2"/>
      <c r="G1984" s="2"/>
      <c r="H1984" s="2"/>
      <c r="I1984" s="2"/>
      <c r="J1984" s="2"/>
      <c r="K1984" s="2"/>
      <c r="L1984" s="2"/>
    </row>
    <row r="1985" spans="2:12" ht="13.2" x14ac:dyDescent="0.25">
      <c r="B1985" s="2"/>
      <c r="C1985" s="2"/>
      <c r="D1985" s="2"/>
      <c r="E1985" s="2"/>
      <c r="F1985" s="2"/>
      <c r="G1985" s="2"/>
      <c r="H1985" s="2"/>
      <c r="I1985" s="2"/>
      <c r="J1985" s="2"/>
      <c r="K1985" s="2"/>
      <c r="L1985" s="2"/>
    </row>
    <row r="1986" spans="2:12" ht="13.2" x14ac:dyDescent="0.25">
      <c r="B1986" s="2"/>
      <c r="C1986" s="2"/>
      <c r="D1986" s="2"/>
      <c r="E1986" s="2"/>
      <c r="F1986" s="2"/>
      <c r="G1986" s="2"/>
      <c r="H1986" s="2"/>
      <c r="I1986" s="2"/>
      <c r="J1986" s="2"/>
      <c r="K1986" s="2"/>
      <c r="L1986" s="2"/>
    </row>
    <row r="1987" spans="2:12" ht="13.2" x14ac:dyDescent="0.25">
      <c r="B1987" s="2"/>
      <c r="C1987" s="2"/>
      <c r="D1987" s="2"/>
      <c r="E1987" s="2"/>
      <c r="F1987" s="2"/>
      <c r="G1987" s="2"/>
      <c r="H1987" s="2"/>
      <c r="I1987" s="2"/>
      <c r="J1987" s="2"/>
      <c r="K1987" s="2"/>
      <c r="L1987" s="2"/>
    </row>
    <row r="1988" spans="2:12" ht="13.2" x14ac:dyDescent="0.25">
      <c r="B1988" s="2"/>
      <c r="C1988" s="2"/>
      <c r="D1988" s="2"/>
      <c r="E1988" s="2"/>
      <c r="F1988" s="2"/>
      <c r="G1988" s="2"/>
      <c r="H1988" s="2"/>
      <c r="I1988" s="2"/>
      <c r="J1988" s="2"/>
      <c r="K1988" s="2"/>
      <c r="L1988" s="2"/>
    </row>
    <row r="1989" spans="2:12" ht="13.2" x14ac:dyDescent="0.25">
      <c r="B1989" s="2"/>
      <c r="C1989" s="2"/>
      <c r="D1989" s="2"/>
      <c r="E1989" s="2"/>
      <c r="F1989" s="2"/>
      <c r="G1989" s="2"/>
      <c r="H1989" s="2"/>
      <c r="I1989" s="2"/>
      <c r="J1989" s="2"/>
      <c r="K1989" s="2"/>
      <c r="L1989" s="2"/>
    </row>
    <row r="1990" spans="2:12" ht="13.2" x14ac:dyDescent="0.25">
      <c r="B1990" s="2"/>
      <c r="C1990" s="2"/>
      <c r="D1990" s="2"/>
      <c r="E1990" s="2"/>
      <c r="F1990" s="2"/>
      <c r="G1990" s="2"/>
      <c r="H1990" s="2"/>
      <c r="I1990" s="2"/>
      <c r="J1990" s="2"/>
      <c r="K1990" s="2"/>
      <c r="L1990" s="2"/>
    </row>
    <row r="1991" spans="2:12" ht="13.2" x14ac:dyDescent="0.25">
      <c r="B1991" s="2"/>
      <c r="C1991" s="2"/>
      <c r="D1991" s="2"/>
      <c r="E1991" s="2"/>
      <c r="F1991" s="2"/>
      <c r="G1991" s="2"/>
      <c r="H1991" s="2"/>
      <c r="I1991" s="2"/>
      <c r="J1991" s="2"/>
      <c r="K1991" s="2"/>
      <c r="L1991" s="2"/>
    </row>
    <row r="1992" spans="2:12" ht="13.2" x14ac:dyDescent="0.25">
      <c r="B1992" s="2"/>
      <c r="C1992" s="2"/>
      <c r="D1992" s="2"/>
      <c r="E1992" s="2"/>
      <c r="F1992" s="2"/>
      <c r="G1992" s="2"/>
      <c r="H1992" s="2"/>
      <c r="I1992" s="2"/>
      <c r="J1992" s="2"/>
      <c r="K1992" s="2"/>
      <c r="L1992" s="2"/>
    </row>
    <row r="1993" spans="2:12" ht="13.2" x14ac:dyDescent="0.25">
      <c r="B1993" s="2"/>
      <c r="C1993" s="2"/>
      <c r="D1993" s="2"/>
      <c r="E1993" s="2"/>
      <c r="F1993" s="2"/>
      <c r="G1993" s="2"/>
      <c r="H1993" s="2"/>
      <c r="I1993" s="2"/>
      <c r="J1993" s="2"/>
      <c r="K1993" s="2"/>
      <c r="L1993" s="2"/>
    </row>
    <row r="1994" spans="2:12" ht="13.2" x14ac:dyDescent="0.25">
      <c r="B1994" s="2"/>
      <c r="C1994" s="2"/>
      <c r="D1994" s="2"/>
      <c r="E1994" s="2"/>
      <c r="F1994" s="2"/>
      <c r="G1994" s="2"/>
      <c r="H1994" s="2"/>
      <c r="I1994" s="2"/>
      <c r="J1994" s="2"/>
      <c r="K1994" s="2"/>
      <c r="L1994" s="2"/>
    </row>
    <row r="1995" spans="2:12" ht="13.2" x14ac:dyDescent="0.25">
      <c r="B1995" s="2"/>
      <c r="C1995" s="2"/>
      <c r="D1995" s="2"/>
      <c r="E1995" s="2"/>
      <c r="F1995" s="2"/>
      <c r="G1995" s="2"/>
      <c r="H1995" s="2"/>
      <c r="I1995" s="2"/>
      <c r="J1995" s="2"/>
      <c r="K1995" s="2"/>
      <c r="L1995" s="2"/>
    </row>
    <row r="1996" spans="2:12" ht="13.2" x14ac:dyDescent="0.25">
      <c r="B1996" s="2"/>
      <c r="C1996" s="2"/>
      <c r="D1996" s="2"/>
      <c r="E1996" s="2"/>
      <c r="F1996" s="2"/>
      <c r="G1996" s="2"/>
      <c r="H1996" s="2"/>
      <c r="I1996" s="2"/>
      <c r="J1996" s="2"/>
      <c r="K1996" s="2"/>
      <c r="L1996" s="2"/>
    </row>
    <row r="1997" spans="2:12" ht="13.2" x14ac:dyDescent="0.25">
      <c r="B1997" s="2"/>
      <c r="C1997" s="2"/>
      <c r="D1997" s="2"/>
      <c r="E1997" s="2"/>
      <c r="F1997" s="2"/>
      <c r="G1997" s="2"/>
      <c r="H1997" s="2"/>
      <c r="I1997" s="2"/>
      <c r="J1997" s="2"/>
      <c r="K1997" s="2"/>
      <c r="L1997" s="2"/>
    </row>
    <row r="1998" spans="2:12" ht="13.2" x14ac:dyDescent="0.25">
      <c r="B1998" s="2"/>
      <c r="C1998" s="2"/>
      <c r="D1998" s="2"/>
      <c r="E1998" s="2"/>
      <c r="F1998" s="2"/>
      <c r="G1998" s="2"/>
      <c r="H1998" s="2"/>
      <c r="I1998" s="2"/>
      <c r="J1998" s="2"/>
      <c r="K1998" s="2"/>
      <c r="L1998" s="2"/>
    </row>
    <row r="1999" spans="2:12" ht="13.2" x14ac:dyDescent="0.25">
      <c r="B1999" s="2"/>
      <c r="C1999" s="2"/>
      <c r="D1999" s="2"/>
      <c r="E1999" s="2"/>
      <c r="F1999" s="2"/>
      <c r="G1999" s="2"/>
      <c r="H1999" s="2"/>
      <c r="I1999" s="2"/>
      <c r="J1999" s="2"/>
      <c r="K1999" s="2"/>
      <c r="L1999" s="2"/>
    </row>
    <row r="2000" spans="2:12" ht="13.2" x14ac:dyDescent="0.25">
      <c r="B2000" s="2"/>
      <c r="C2000" s="2"/>
      <c r="D2000" s="2"/>
      <c r="E2000" s="2"/>
      <c r="F2000" s="2"/>
      <c r="G2000" s="2"/>
      <c r="H2000" s="2"/>
      <c r="I2000" s="2"/>
      <c r="J2000" s="2"/>
      <c r="K2000" s="2"/>
      <c r="L2000" s="2"/>
    </row>
    <row r="2001" spans="2:12" ht="13.2" x14ac:dyDescent="0.25">
      <c r="B2001" s="2"/>
      <c r="C2001" s="2"/>
      <c r="D2001" s="2"/>
      <c r="E2001" s="2"/>
      <c r="F2001" s="2"/>
      <c r="G2001" s="2"/>
      <c r="H2001" s="2"/>
      <c r="I2001" s="2"/>
      <c r="J2001" s="2"/>
      <c r="K2001" s="2"/>
      <c r="L2001" s="2"/>
    </row>
    <row r="2002" spans="2:12" ht="13.2" x14ac:dyDescent="0.25">
      <c r="B2002" s="2"/>
      <c r="C2002" s="2"/>
      <c r="D2002" s="2"/>
      <c r="E2002" s="2"/>
      <c r="F2002" s="2"/>
      <c r="G2002" s="2"/>
      <c r="H2002" s="2"/>
      <c r="I2002" s="2"/>
      <c r="J2002" s="2"/>
      <c r="K2002" s="2"/>
      <c r="L2002" s="2"/>
    </row>
    <row r="2003" spans="2:12" ht="13.2" x14ac:dyDescent="0.25">
      <c r="B2003" s="2"/>
      <c r="C2003" s="2"/>
      <c r="D2003" s="2"/>
      <c r="E2003" s="2"/>
      <c r="F2003" s="2"/>
      <c r="G2003" s="2"/>
      <c r="H2003" s="2"/>
      <c r="I2003" s="2"/>
      <c r="J2003" s="2"/>
      <c r="K2003" s="2"/>
      <c r="L2003" s="2"/>
    </row>
    <row r="2004" spans="2:12" ht="13.2" x14ac:dyDescent="0.25">
      <c r="B2004" s="2"/>
      <c r="C2004" s="2"/>
      <c r="D2004" s="2"/>
      <c r="E2004" s="2"/>
      <c r="F2004" s="2"/>
      <c r="G2004" s="2"/>
      <c r="H2004" s="2"/>
      <c r="I2004" s="2"/>
      <c r="J2004" s="2"/>
      <c r="K2004" s="2"/>
      <c r="L2004" s="2"/>
    </row>
    <row r="2005" spans="2:12" ht="13.2" x14ac:dyDescent="0.25">
      <c r="B2005" s="2"/>
      <c r="C2005" s="2"/>
      <c r="D2005" s="2"/>
      <c r="E2005" s="2"/>
      <c r="F2005" s="2"/>
      <c r="G2005" s="2"/>
      <c r="H2005" s="2"/>
      <c r="I2005" s="2"/>
      <c r="J2005" s="2"/>
      <c r="K2005" s="2"/>
      <c r="L2005" s="2"/>
    </row>
    <row r="2006" spans="2:12" ht="13.2" x14ac:dyDescent="0.25">
      <c r="B2006" s="2"/>
      <c r="C2006" s="2"/>
      <c r="D2006" s="2"/>
      <c r="E2006" s="2"/>
      <c r="F2006" s="2"/>
      <c r="G2006" s="2"/>
      <c r="H2006" s="2"/>
      <c r="I2006" s="2"/>
      <c r="J2006" s="2"/>
      <c r="K2006" s="2"/>
      <c r="L2006" s="2"/>
    </row>
    <row r="2007" spans="2:12" ht="13.2" x14ac:dyDescent="0.25">
      <c r="B2007" s="2"/>
      <c r="C2007" s="2"/>
      <c r="D2007" s="2"/>
      <c r="E2007" s="2"/>
      <c r="F2007" s="2"/>
      <c r="G2007" s="2"/>
      <c r="H2007" s="2"/>
      <c r="I2007" s="2"/>
      <c r="J2007" s="2"/>
      <c r="K2007" s="2"/>
      <c r="L2007" s="2"/>
    </row>
    <row r="2008" spans="2:12" ht="13.2" x14ac:dyDescent="0.25">
      <c r="B2008" s="2"/>
      <c r="C2008" s="2"/>
      <c r="D2008" s="2"/>
      <c r="E2008" s="2"/>
      <c r="F2008" s="2"/>
      <c r="G2008" s="2"/>
      <c r="H2008" s="2"/>
      <c r="I2008" s="2"/>
      <c r="J2008" s="2"/>
      <c r="K2008" s="2"/>
      <c r="L2008" s="2"/>
    </row>
    <row r="2009" spans="2:12" ht="13.2" x14ac:dyDescent="0.25">
      <c r="B2009" s="2"/>
      <c r="C2009" s="2"/>
      <c r="D2009" s="2"/>
      <c r="E2009" s="2"/>
      <c r="F2009" s="2"/>
      <c r="G2009" s="2"/>
      <c r="H2009" s="2"/>
      <c r="I2009" s="2"/>
      <c r="J2009" s="2"/>
      <c r="K2009" s="2"/>
      <c r="L2009" s="2"/>
    </row>
    <row r="2010" spans="2:12" ht="13.2" x14ac:dyDescent="0.25">
      <c r="B2010" s="2"/>
      <c r="C2010" s="2"/>
      <c r="D2010" s="2"/>
      <c r="E2010" s="2"/>
      <c r="F2010" s="2"/>
      <c r="G2010" s="2"/>
      <c r="H2010" s="2"/>
      <c r="I2010" s="2"/>
      <c r="J2010" s="2"/>
      <c r="K2010" s="2"/>
      <c r="L2010" s="2"/>
    </row>
    <row r="2011" spans="2:12" ht="13.2" x14ac:dyDescent="0.25">
      <c r="B2011" s="2"/>
      <c r="C2011" s="2"/>
      <c r="D2011" s="2"/>
      <c r="E2011" s="2"/>
      <c r="F2011" s="2"/>
      <c r="G2011" s="2"/>
      <c r="H2011" s="2"/>
      <c r="I2011" s="2"/>
      <c r="J2011" s="2"/>
      <c r="K2011" s="2"/>
      <c r="L2011" s="2"/>
    </row>
    <row r="2012" spans="2:12" ht="13.2" x14ac:dyDescent="0.25">
      <c r="B2012" s="2"/>
      <c r="C2012" s="2"/>
      <c r="D2012" s="2"/>
      <c r="E2012" s="2"/>
      <c r="F2012" s="2"/>
      <c r="G2012" s="2"/>
      <c r="H2012" s="2"/>
      <c r="I2012" s="2"/>
      <c r="J2012" s="2"/>
      <c r="K2012" s="2"/>
      <c r="L2012" s="2"/>
    </row>
    <row r="2013" spans="2:12" ht="13.2" x14ac:dyDescent="0.25">
      <c r="B2013" s="2"/>
      <c r="C2013" s="2"/>
      <c r="D2013" s="2"/>
      <c r="E2013" s="2"/>
      <c r="F2013" s="2"/>
      <c r="G2013" s="2"/>
      <c r="H2013" s="2"/>
      <c r="I2013" s="2"/>
      <c r="J2013" s="2"/>
      <c r="K2013" s="2"/>
      <c r="L2013" s="2"/>
    </row>
    <row r="2014" spans="2:12" ht="13.2" x14ac:dyDescent="0.25">
      <c r="B2014" s="2"/>
      <c r="C2014" s="2"/>
      <c r="D2014" s="2"/>
      <c r="E2014" s="2"/>
      <c r="F2014" s="2"/>
      <c r="G2014" s="2"/>
      <c r="H2014" s="2"/>
      <c r="I2014" s="2"/>
      <c r="J2014" s="2"/>
      <c r="K2014" s="2"/>
      <c r="L2014" s="2"/>
    </row>
    <row r="2015" spans="2:12" ht="13.2" x14ac:dyDescent="0.25">
      <c r="B2015" s="2"/>
      <c r="C2015" s="2"/>
      <c r="D2015" s="2"/>
      <c r="E2015" s="2"/>
      <c r="F2015" s="2"/>
      <c r="G2015" s="2"/>
      <c r="H2015" s="2"/>
      <c r="I2015" s="2"/>
      <c r="J2015" s="2"/>
      <c r="K2015" s="2"/>
      <c r="L2015" s="2"/>
    </row>
    <row r="2016" spans="2:12" ht="13.2" x14ac:dyDescent="0.25">
      <c r="B2016" s="2"/>
      <c r="C2016" s="2"/>
      <c r="D2016" s="2"/>
      <c r="E2016" s="2"/>
      <c r="F2016" s="2"/>
      <c r="G2016" s="2"/>
      <c r="H2016" s="2"/>
      <c r="I2016" s="2"/>
      <c r="J2016" s="2"/>
      <c r="K2016" s="2"/>
      <c r="L2016" s="2"/>
    </row>
    <row r="2017" spans="2:12" ht="13.2" x14ac:dyDescent="0.25">
      <c r="B2017" s="2"/>
      <c r="C2017" s="2"/>
      <c r="D2017" s="2"/>
      <c r="E2017" s="2"/>
      <c r="F2017" s="2"/>
      <c r="G2017" s="2"/>
      <c r="H2017" s="2"/>
      <c r="I2017" s="2"/>
      <c r="J2017" s="2"/>
      <c r="K2017" s="2"/>
      <c r="L2017" s="2"/>
    </row>
    <row r="2018" spans="2:12" ht="13.2" x14ac:dyDescent="0.25">
      <c r="B2018" s="2"/>
      <c r="C2018" s="2"/>
      <c r="D2018" s="2"/>
      <c r="E2018" s="2"/>
      <c r="F2018" s="2"/>
      <c r="G2018" s="2"/>
      <c r="H2018" s="2"/>
      <c r="I2018" s="2"/>
      <c r="J2018" s="2"/>
      <c r="K2018" s="2"/>
      <c r="L2018" s="2"/>
    </row>
    <row r="2019" spans="2:12" ht="13.2" x14ac:dyDescent="0.25">
      <c r="B2019" s="2"/>
      <c r="C2019" s="2"/>
      <c r="D2019" s="2"/>
      <c r="E2019" s="2"/>
      <c r="F2019" s="2"/>
      <c r="G2019" s="2"/>
      <c r="H2019" s="2"/>
      <c r="I2019" s="2"/>
      <c r="J2019" s="2"/>
      <c r="K2019" s="2"/>
      <c r="L2019" s="2"/>
    </row>
    <row r="2020" spans="2:12" ht="13.2" x14ac:dyDescent="0.25">
      <c r="B2020" s="2"/>
      <c r="C2020" s="2"/>
      <c r="D2020" s="2"/>
      <c r="E2020" s="2"/>
      <c r="F2020" s="2"/>
      <c r="G2020" s="2"/>
      <c r="H2020" s="2"/>
      <c r="I2020" s="2"/>
      <c r="J2020" s="2"/>
      <c r="K2020" s="2"/>
      <c r="L2020" s="2"/>
    </row>
    <row r="2021" spans="2:12" ht="13.2" x14ac:dyDescent="0.25">
      <c r="B2021" s="2"/>
      <c r="C2021" s="2"/>
      <c r="D2021" s="2"/>
      <c r="E2021" s="2"/>
      <c r="F2021" s="2"/>
      <c r="G2021" s="2"/>
      <c r="H2021" s="2"/>
      <c r="I2021" s="2"/>
      <c r="J2021" s="2"/>
      <c r="K2021" s="2"/>
      <c r="L2021" s="2"/>
    </row>
    <row r="2022" spans="2:12" ht="13.2" x14ac:dyDescent="0.25">
      <c r="B2022" s="2"/>
      <c r="C2022" s="2"/>
      <c r="D2022" s="2"/>
      <c r="E2022" s="2"/>
      <c r="F2022" s="2"/>
      <c r="G2022" s="2"/>
      <c r="H2022" s="2"/>
      <c r="I2022" s="2"/>
      <c r="J2022" s="2"/>
      <c r="K2022" s="2"/>
      <c r="L2022" s="2"/>
    </row>
    <row r="2023" spans="2:12" ht="13.2" x14ac:dyDescent="0.25">
      <c r="B2023" s="2"/>
      <c r="C2023" s="2"/>
      <c r="D2023" s="2"/>
      <c r="E2023" s="2"/>
      <c r="F2023" s="2"/>
      <c r="G2023" s="2"/>
      <c r="H2023" s="2"/>
      <c r="I2023" s="2"/>
      <c r="J2023" s="2"/>
      <c r="K2023" s="2"/>
      <c r="L2023" s="2"/>
    </row>
    <row r="2024" spans="2:12" ht="13.2" x14ac:dyDescent="0.25">
      <c r="B2024" s="2"/>
      <c r="C2024" s="2"/>
      <c r="D2024" s="2"/>
      <c r="E2024" s="2"/>
      <c r="F2024" s="2"/>
      <c r="G2024" s="2"/>
      <c r="H2024" s="2"/>
      <c r="I2024" s="2"/>
      <c r="J2024" s="2"/>
      <c r="K2024" s="2"/>
      <c r="L2024" s="2"/>
    </row>
    <row r="2025" spans="2:12" ht="13.2" x14ac:dyDescent="0.25">
      <c r="B2025" s="2"/>
      <c r="C2025" s="2"/>
      <c r="D2025" s="2"/>
      <c r="E2025" s="2"/>
      <c r="F2025" s="2"/>
      <c r="G2025" s="2"/>
      <c r="H2025" s="2"/>
      <c r="I2025" s="2"/>
      <c r="J2025" s="2"/>
      <c r="K2025" s="2"/>
      <c r="L2025" s="2"/>
    </row>
    <row r="2026" spans="2:12" ht="13.2" x14ac:dyDescent="0.25">
      <c r="B2026" s="2"/>
      <c r="C2026" s="2"/>
      <c r="D2026" s="2"/>
      <c r="E2026" s="2"/>
      <c r="F2026" s="2"/>
      <c r="G2026" s="2"/>
      <c r="H2026" s="2"/>
      <c r="I2026" s="2"/>
      <c r="J2026" s="2"/>
      <c r="K2026" s="2"/>
      <c r="L2026" s="2"/>
    </row>
    <row r="2027" spans="2:12" ht="13.2" x14ac:dyDescent="0.25">
      <c r="B2027" s="2"/>
      <c r="C2027" s="2"/>
      <c r="D2027" s="2"/>
      <c r="E2027" s="2"/>
      <c r="F2027" s="2"/>
      <c r="G2027" s="2"/>
      <c r="H2027" s="2"/>
      <c r="I2027" s="2"/>
      <c r="J2027" s="2"/>
      <c r="K2027" s="2"/>
      <c r="L2027" s="2"/>
    </row>
    <row r="2028" spans="2:12" ht="13.2" x14ac:dyDescent="0.25">
      <c r="B2028" s="2"/>
      <c r="C2028" s="2"/>
      <c r="D2028" s="2"/>
      <c r="E2028" s="2"/>
      <c r="F2028" s="2"/>
      <c r="G2028" s="2"/>
      <c r="H2028" s="2"/>
      <c r="I2028" s="2"/>
      <c r="J2028" s="2"/>
      <c r="K2028" s="2"/>
      <c r="L2028" s="2"/>
    </row>
    <row r="2029" spans="2:12" ht="13.2" x14ac:dyDescent="0.25">
      <c r="B2029" s="2"/>
      <c r="C2029" s="2"/>
      <c r="D2029" s="2"/>
      <c r="E2029" s="2"/>
      <c r="F2029" s="2"/>
      <c r="G2029" s="2"/>
      <c r="H2029" s="2"/>
      <c r="I2029" s="2"/>
      <c r="J2029" s="2"/>
      <c r="K2029" s="2"/>
      <c r="L2029" s="2"/>
    </row>
    <row r="2030" spans="2:12" ht="13.2" x14ac:dyDescent="0.25">
      <c r="B2030" s="2"/>
      <c r="C2030" s="2"/>
      <c r="D2030" s="2"/>
      <c r="E2030" s="2"/>
      <c r="F2030" s="2"/>
      <c r="G2030" s="2"/>
      <c r="H2030" s="2"/>
      <c r="I2030" s="2"/>
      <c r="J2030" s="2"/>
      <c r="K2030" s="2"/>
      <c r="L2030" s="2"/>
    </row>
    <row r="2031" spans="2:12" ht="13.2" x14ac:dyDescent="0.25">
      <c r="B2031" s="2"/>
      <c r="C2031" s="2"/>
      <c r="D2031" s="2"/>
      <c r="E2031" s="2"/>
      <c r="F2031" s="2"/>
      <c r="G2031" s="2"/>
      <c r="H2031" s="2"/>
      <c r="I2031" s="2"/>
      <c r="J2031" s="2"/>
      <c r="K2031" s="2"/>
      <c r="L2031" s="2"/>
    </row>
    <row r="2032" spans="2:12" ht="13.2" x14ac:dyDescent="0.25">
      <c r="B2032" s="2"/>
      <c r="C2032" s="2"/>
      <c r="D2032" s="2"/>
      <c r="E2032" s="2"/>
      <c r="F2032" s="2"/>
      <c r="G2032" s="2"/>
      <c r="H2032" s="2"/>
      <c r="I2032" s="2"/>
      <c r="J2032" s="2"/>
      <c r="K2032" s="2"/>
      <c r="L2032" s="2"/>
    </row>
    <row r="2033" spans="2:12" ht="13.2" x14ac:dyDescent="0.25">
      <c r="B2033" s="2"/>
      <c r="C2033" s="2"/>
      <c r="D2033" s="2"/>
      <c r="E2033" s="2"/>
      <c r="F2033" s="2"/>
      <c r="G2033" s="2"/>
      <c r="H2033" s="2"/>
      <c r="I2033" s="2"/>
      <c r="J2033" s="2"/>
      <c r="K2033" s="2"/>
      <c r="L2033" s="2"/>
    </row>
    <row r="2034" spans="2:12" ht="13.2" x14ac:dyDescent="0.25">
      <c r="B2034" s="2"/>
      <c r="C2034" s="2"/>
      <c r="D2034" s="2"/>
      <c r="E2034" s="2"/>
      <c r="F2034" s="2"/>
      <c r="G2034" s="2"/>
      <c r="H2034" s="2"/>
      <c r="I2034" s="2"/>
      <c r="J2034" s="2"/>
      <c r="K2034" s="2"/>
      <c r="L2034" s="2"/>
    </row>
    <row r="2035" spans="2:12" ht="13.2" x14ac:dyDescent="0.25">
      <c r="B2035" s="2"/>
      <c r="C2035" s="2"/>
      <c r="D2035" s="2"/>
      <c r="E2035" s="2"/>
      <c r="F2035" s="2"/>
      <c r="G2035" s="2"/>
      <c r="H2035" s="2"/>
      <c r="I2035" s="2"/>
      <c r="J2035" s="2"/>
      <c r="K2035" s="2"/>
      <c r="L2035" s="2"/>
    </row>
    <row r="2036" spans="2:12" ht="13.2" x14ac:dyDescent="0.25">
      <c r="B2036" s="2"/>
      <c r="C2036" s="2"/>
      <c r="D2036" s="2"/>
      <c r="E2036" s="2"/>
      <c r="F2036" s="2"/>
      <c r="G2036" s="2"/>
      <c r="H2036" s="2"/>
      <c r="I2036" s="2"/>
      <c r="J2036" s="2"/>
      <c r="K2036" s="2"/>
      <c r="L2036" s="2"/>
    </row>
    <row r="2037" spans="2:12" ht="13.2" x14ac:dyDescent="0.25">
      <c r="B2037" s="2"/>
      <c r="C2037" s="2"/>
      <c r="D2037" s="2"/>
      <c r="E2037" s="2"/>
      <c r="F2037" s="2"/>
      <c r="G2037" s="2"/>
      <c r="H2037" s="2"/>
      <c r="I2037" s="2"/>
      <c r="J2037" s="2"/>
      <c r="K2037" s="2"/>
      <c r="L2037" s="2"/>
    </row>
    <row r="2038" spans="2:12" ht="13.2" x14ac:dyDescent="0.25">
      <c r="B2038" s="2"/>
      <c r="C2038" s="2"/>
      <c r="D2038" s="2"/>
      <c r="E2038" s="2"/>
      <c r="F2038" s="2"/>
      <c r="G2038" s="2"/>
      <c r="H2038" s="2"/>
      <c r="I2038" s="2"/>
      <c r="J2038" s="2"/>
      <c r="K2038" s="2"/>
      <c r="L2038" s="2"/>
    </row>
    <row r="2039" spans="2:12" ht="13.2" x14ac:dyDescent="0.25">
      <c r="B2039" s="2"/>
      <c r="C2039" s="2"/>
      <c r="D2039" s="2"/>
      <c r="E2039" s="2"/>
      <c r="F2039" s="2"/>
      <c r="G2039" s="2"/>
      <c r="H2039" s="2"/>
      <c r="I2039" s="2"/>
      <c r="J2039" s="2"/>
      <c r="K2039" s="2"/>
      <c r="L2039" s="2"/>
    </row>
    <row r="2040" spans="2:12" ht="13.2" x14ac:dyDescent="0.25">
      <c r="B2040" s="2"/>
      <c r="C2040" s="2"/>
      <c r="D2040" s="2"/>
      <c r="E2040" s="2"/>
      <c r="F2040" s="2"/>
      <c r="G2040" s="2"/>
      <c r="H2040" s="2"/>
      <c r="I2040" s="2"/>
      <c r="J2040" s="2"/>
      <c r="K2040" s="2"/>
      <c r="L2040" s="2"/>
    </row>
    <row r="2041" spans="2:12" ht="13.2" x14ac:dyDescent="0.25">
      <c r="B2041" s="2"/>
      <c r="C2041" s="2"/>
      <c r="D2041" s="2"/>
      <c r="E2041" s="2"/>
      <c r="F2041" s="2"/>
      <c r="G2041" s="2"/>
      <c r="H2041" s="2"/>
      <c r="I2041" s="2"/>
      <c r="J2041" s="2"/>
      <c r="K2041" s="2"/>
      <c r="L2041" s="2"/>
    </row>
    <row r="2042" spans="2:12" ht="13.2" x14ac:dyDescent="0.25">
      <c r="B2042" s="2"/>
      <c r="C2042" s="2"/>
      <c r="D2042" s="2"/>
      <c r="E2042" s="2"/>
      <c r="F2042" s="2"/>
      <c r="G2042" s="2"/>
      <c r="H2042" s="2"/>
      <c r="I2042" s="2"/>
      <c r="J2042" s="2"/>
      <c r="K2042" s="2"/>
      <c r="L2042" s="2"/>
    </row>
    <row r="2043" spans="2:12" ht="13.2" x14ac:dyDescent="0.25">
      <c r="B2043" s="2"/>
      <c r="C2043" s="2"/>
      <c r="D2043" s="2"/>
      <c r="E2043" s="2"/>
      <c r="F2043" s="2"/>
      <c r="G2043" s="2"/>
      <c r="H2043" s="2"/>
      <c r="I2043" s="2"/>
      <c r="J2043" s="2"/>
      <c r="K2043" s="2"/>
      <c r="L2043" s="2"/>
    </row>
    <row r="2044" spans="2:12" ht="13.2" x14ac:dyDescent="0.25">
      <c r="B2044" s="2"/>
      <c r="C2044" s="2"/>
      <c r="D2044" s="2"/>
      <c r="E2044" s="2"/>
      <c r="F2044" s="2"/>
      <c r="G2044" s="2"/>
      <c r="H2044" s="2"/>
      <c r="I2044" s="2"/>
      <c r="J2044" s="2"/>
      <c r="K2044" s="2"/>
      <c r="L2044" s="2"/>
    </row>
    <row r="2045" spans="2:12" ht="13.2" x14ac:dyDescent="0.25">
      <c r="B2045" s="2"/>
      <c r="C2045" s="2"/>
      <c r="D2045" s="2"/>
      <c r="E2045" s="2"/>
      <c r="F2045" s="2"/>
      <c r="G2045" s="2"/>
      <c r="H2045" s="2"/>
      <c r="I2045" s="2"/>
      <c r="J2045" s="2"/>
      <c r="K2045" s="2"/>
      <c r="L2045" s="2"/>
    </row>
    <row r="2046" spans="2:12" ht="13.2" x14ac:dyDescent="0.25">
      <c r="B2046" s="2"/>
      <c r="C2046" s="2"/>
      <c r="D2046" s="2"/>
      <c r="E2046" s="2"/>
      <c r="F2046" s="2"/>
      <c r="G2046" s="2"/>
      <c r="H2046" s="2"/>
      <c r="I2046" s="2"/>
      <c r="J2046" s="2"/>
      <c r="K2046" s="2"/>
      <c r="L2046" s="2"/>
    </row>
    <row r="2047" spans="2:12" ht="13.2" x14ac:dyDescent="0.25">
      <c r="B2047" s="2"/>
      <c r="C2047" s="2"/>
      <c r="D2047" s="2"/>
      <c r="E2047" s="2"/>
      <c r="F2047" s="2"/>
      <c r="G2047" s="2"/>
      <c r="H2047" s="2"/>
      <c r="I2047" s="2"/>
      <c r="J2047" s="2"/>
      <c r="K2047" s="2"/>
      <c r="L2047" s="2"/>
    </row>
    <row r="2048" spans="2:12" ht="13.2" x14ac:dyDescent="0.25">
      <c r="B2048" s="2"/>
      <c r="C2048" s="2"/>
      <c r="D2048" s="2"/>
      <c r="E2048" s="2"/>
      <c r="F2048" s="2"/>
      <c r="G2048" s="2"/>
      <c r="H2048" s="2"/>
      <c r="I2048" s="2"/>
      <c r="J2048" s="2"/>
      <c r="K2048" s="2"/>
      <c r="L2048" s="2"/>
    </row>
    <row r="2049" spans="2:12" ht="13.2" x14ac:dyDescent="0.25">
      <c r="B2049" s="2"/>
      <c r="C2049" s="2"/>
      <c r="D2049" s="2"/>
      <c r="E2049" s="2"/>
      <c r="F2049" s="2"/>
      <c r="G2049" s="2"/>
      <c r="H2049" s="2"/>
      <c r="I2049" s="2"/>
      <c r="J2049" s="2"/>
      <c r="K2049" s="2"/>
      <c r="L2049" s="2"/>
    </row>
    <row r="2050" spans="2:12" ht="13.2" x14ac:dyDescent="0.25">
      <c r="B2050" s="2"/>
      <c r="C2050" s="2"/>
      <c r="D2050" s="2"/>
      <c r="E2050" s="2"/>
      <c r="F2050" s="2"/>
      <c r="G2050" s="2"/>
      <c r="H2050" s="2"/>
      <c r="I2050" s="2"/>
      <c r="J2050" s="2"/>
      <c r="K2050" s="2"/>
      <c r="L2050" s="2"/>
    </row>
    <row r="2051" spans="2:12" ht="13.2" x14ac:dyDescent="0.25">
      <c r="B2051" s="2"/>
      <c r="C2051" s="2"/>
      <c r="D2051" s="2"/>
      <c r="E2051" s="2"/>
      <c r="F2051" s="2"/>
      <c r="G2051" s="2"/>
      <c r="H2051" s="2"/>
      <c r="I2051" s="2"/>
      <c r="J2051" s="2"/>
      <c r="K2051" s="2"/>
      <c r="L2051" s="2"/>
    </row>
    <row r="2052" spans="2:12" ht="13.2" x14ac:dyDescent="0.25">
      <c r="B2052" s="2"/>
      <c r="C2052" s="2"/>
      <c r="D2052" s="2"/>
      <c r="E2052" s="2"/>
      <c r="F2052" s="2"/>
      <c r="G2052" s="2"/>
      <c r="H2052" s="2"/>
      <c r="I2052" s="2"/>
      <c r="J2052" s="2"/>
      <c r="K2052" s="2"/>
      <c r="L2052" s="2"/>
    </row>
    <row r="2053" spans="2:12" ht="13.2" x14ac:dyDescent="0.25">
      <c r="B2053" s="2"/>
      <c r="C2053" s="2"/>
      <c r="D2053" s="2"/>
      <c r="E2053" s="2"/>
      <c r="F2053" s="2"/>
      <c r="G2053" s="2"/>
      <c r="H2053" s="2"/>
      <c r="I2053" s="2"/>
      <c r="J2053" s="2"/>
      <c r="K2053" s="2"/>
      <c r="L2053" s="2"/>
    </row>
    <row r="2054" spans="2:12" ht="13.2" x14ac:dyDescent="0.25">
      <c r="B2054" s="2"/>
      <c r="C2054" s="2"/>
      <c r="D2054" s="2"/>
      <c r="E2054" s="2"/>
      <c r="F2054" s="2"/>
      <c r="G2054" s="2"/>
      <c r="H2054" s="2"/>
      <c r="I2054" s="2"/>
      <c r="J2054" s="2"/>
      <c r="K2054" s="2"/>
      <c r="L2054" s="2"/>
    </row>
    <row r="2055" spans="2:12" ht="13.2" x14ac:dyDescent="0.25">
      <c r="B2055" s="2"/>
      <c r="C2055" s="2"/>
      <c r="D2055" s="2"/>
      <c r="E2055" s="2"/>
      <c r="F2055" s="2"/>
      <c r="G2055" s="2"/>
      <c r="H2055" s="2"/>
      <c r="I2055" s="2"/>
      <c r="J2055" s="2"/>
      <c r="K2055" s="2"/>
      <c r="L2055" s="2"/>
    </row>
    <row r="2056" spans="2:12" ht="13.2" x14ac:dyDescent="0.25">
      <c r="B2056" s="2"/>
      <c r="C2056" s="2"/>
      <c r="D2056" s="2"/>
      <c r="E2056" s="2"/>
      <c r="F2056" s="2"/>
      <c r="G2056" s="2"/>
      <c r="H2056" s="2"/>
      <c r="I2056" s="2"/>
      <c r="J2056" s="2"/>
      <c r="K2056" s="2"/>
      <c r="L2056" s="2"/>
    </row>
    <row r="2057" spans="2:12" ht="13.2" x14ac:dyDescent="0.25">
      <c r="B2057" s="2"/>
      <c r="C2057" s="2"/>
      <c r="D2057" s="2"/>
      <c r="E2057" s="2"/>
      <c r="F2057" s="2"/>
      <c r="G2057" s="2"/>
      <c r="H2057" s="2"/>
      <c r="I2057" s="2"/>
      <c r="J2057" s="2"/>
      <c r="K2057" s="2"/>
      <c r="L2057" s="2"/>
    </row>
    <row r="2058" spans="2:12" ht="13.2" x14ac:dyDescent="0.25">
      <c r="B2058" s="2"/>
      <c r="C2058" s="2"/>
      <c r="D2058" s="2"/>
      <c r="E2058" s="2"/>
      <c r="F2058" s="2"/>
      <c r="G2058" s="2"/>
      <c r="H2058" s="2"/>
      <c r="I2058" s="2"/>
      <c r="J2058" s="2"/>
      <c r="K2058" s="2"/>
      <c r="L2058" s="2"/>
    </row>
    <row r="2059" spans="2:12" ht="13.2" x14ac:dyDescent="0.25">
      <c r="B2059" s="2"/>
      <c r="C2059" s="2"/>
      <c r="D2059" s="2"/>
      <c r="E2059" s="2"/>
      <c r="F2059" s="2"/>
      <c r="G2059" s="2"/>
      <c r="H2059" s="2"/>
      <c r="I2059" s="2"/>
      <c r="J2059" s="2"/>
      <c r="K2059" s="2"/>
      <c r="L2059" s="2"/>
    </row>
    <row r="2060" spans="2:12" ht="13.2" x14ac:dyDescent="0.25">
      <c r="B2060" s="2"/>
      <c r="C2060" s="2"/>
      <c r="D2060" s="2"/>
      <c r="E2060" s="2"/>
      <c r="F2060" s="2"/>
      <c r="G2060" s="2"/>
      <c r="H2060" s="2"/>
      <c r="I2060" s="2"/>
      <c r="J2060" s="2"/>
      <c r="K2060" s="2"/>
      <c r="L2060" s="2"/>
    </row>
    <row r="2061" spans="2:12" ht="13.2" x14ac:dyDescent="0.25">
      <c r="B2061" s="2"/>
      <c r="C2061" s="2"/>
      <c r="D2061" s="2"/>
      <c r="E2061" s="2"/>
      <c r="F2061" s="2"/>
      <c r="G2061" s="2"/>
      <c r="H2061" s="2"/>
      <c r="I2061" s="2"/>
      <c r="J2061" s="2"/>
      <c r="K2061" s="2"/>
      <c r="L2061" s="2"/>
    </row>
    <row r="2062" spans="2:12" ht="13.2" x14ac:dyDescent="0.25">
      <c r="B2062" s="2"/>
      <c r="C2062" s="2"/>
      <c r="D2062" s="2"/>
      <c r="E2062" s="2"/>
      <c r="F2062" s="2"/>
      <c r="G2062" s="2"/>
      <c r="H2062" s="2"/>
      <c r="I2062" s="2"/>
      <c r="J2062" s="2"/>
      <c r="K2062" s="2"/>
      <c r="L2062" s="2"/>
    </row>
    <row r="2063" spans="2:12" ht="13.2" x14ac:dyDescent="0.25">
      <c r="B2063" s="2"/>
      <c r="C2063" s="2"/>
      <c r="D2063" s="2"/>
      <c r="E2063" s="2"/>
      <c r="F2063" s="2"/>
      <c r="G2063" s="2"/>
      <c r="H2063" s="2"/>
      <c r="I2063" s="2"/>
      <c r="J2063" s="2"/>
      <c r="K2063" s="2"/>
      <c r="L2063" s="2"/>
    </row>
    <row r="2064" spans="2:12" ht="13.2" x14ac:dyDescent="0.25">
      <c r="B2064" s="2"/>
      <c r="C2064" s="2"/>
      <c r="D2064" s="2"/>
      <c r="E2064" s="2"/>
      <c r="F2064" s="2"/>
      <c r="G2064" s="2"/>
      <c r="H2064" s="2"/>
      <c r="I2064" s="2"/>
      <c r="J2064" s="2"/>
      <c r="K2064" s="2"/>
      <c r="L2064" s="2"/>
    </row>
    <row r="2065" spans="2:12" ht="13.2" x14ac:dyDescent="0.25">
      <c r="B2065" s="2"/>
      <c r="C2065" s="2"/>
      <c r="D2065" s="2"/>
      <c r="E2065" s="2"/>
      <c r="F2065" s="2"/>
      <c r="G2065" s="2"/>
      <c r="H2065" s="2"/>
      <c r="I2065" s="2"/>
      <c r="J2065" s="2"/>
      <c r="K2065" s="2"/>
      <c r="L2065" s="2"/>
    </row>
    <row r="2066" spans="2:12" ht="13.2" x14ac:dyDescent="0.25">
      <c r="B2066" s="2"/>
      <c r="C2066" s="2"/>
      <c r="D2066" s="2"/>
      <c r="E2066" s="2"/>
      <c r="F2066" s="2"/>
      <c r="G2066" s="2"/>
      <c r="H2066" s="2"/>
      <c r="I2066" s="2"/>
      <c r="J2066" s="2"/>
      <c r="K2066" s="2"/>
      <c r="L2066" s="2"/>
    </row>
    <row r="2067" spans="2:12" ht="13.2" x14ac:dyDescent="0.25">
      <c r="B2067" s="2"/>
      <c r="C2067" s="2"/>
      <c r="D2067" s="2"/>
      <c r="E2067" s="2"/>
      <c r="F2067" s="2"/>
      <c r="G2067" s="2"/>
      <c r="H2067" s="2"/>
      <c r="I2067" s="2"/>
      <c r="J2067" s="2"/>
      <c r="K2067" s="2"/>
      <c r="L2067" s="2"/>
    </row>
    <row r="2068" spans="2:12" ht="13.2" x14ac:dyDescent="0.25">
      <c r="B2068" s="2"/>
      <c r="C2068" s="2"/>
      <c r="D2068" s="2"/>
      <c r="E2068" s="2"/>
      <c r="F2068" s="2"/>
      <c r="G2068" s="2"/>
      <c r="H2068" s="2"/>
      <c r="I2068" s="2"/>
      <c r="J2068" s="2"/>
      <c r="K2068" s="2"/>
      <c r="L2068" s="2"/>
    </row>
    <row r="2069" spans="2:12" ht="13.2" x14ac:dyDescent="0.25">
      <c r="B2069" s="2"/>
      <c r="C2069" s="2"/>
      <c r="D2069" s="2"/>
      <c r="E2069" s="2"/>
      <c r="F2069" s="2"/>
      <c r="G2069" s="2"/>
      <c r="H2069" s="2"/>
      <c r="I2069" s="2"/>
      <c r="J2069" s="2"/>
      <c r="K2069" s="2"/>
      <c r="L2069" s="2"/>
    </row>
    <row r="2070" spans="2:12" ht="13.2" x14ac:dyDescent="0.25">
      <c r="B2070" s="2"/>
      <c r="C2070" s="2"/>
      <c r="D2070" s="2"/>
      <c r="E2070" s="2"/>
      <c r="F2070" s="2"/>
      <c r="G2070" s="2"/>
      <c r="H2070" s="2"/>
      <c r="I2070" s="2"/>
      <c r="J2070" s="2"/>
      <c r="K2070" s="2"/>
      <c r="L2070" s="2"/>
    </row>
    <row r="2071" spans="2:12" ht="13.2" x14ac:dyDescent="0.25">
      <c r="B2071" s="2"/>
      <c r="C2071" s="2"/>
      <c r="D2071" s="2"/>
      <c r="E2071" s="2"/>
      <c r="F2071" s="2"/>
      <c r="G2071" s="2"/>
      <c r="H2071" s="2"/>
      <c r="I2071" s="2"/>
      <c r="J2071" s="2"/>
      <c r="K2071" s="2"/>
      <c r="L2071" s="2"/>
    </row>
    <row r="2072" spans="2:12" ht="13.2" x14ac:dyDescent="0.25">
      <c r="B2072" s="2"/>
      <c r="C2072" s="2"/>
      <c r="D2072" s="2"/>
      <c r="E2072" s="2"/>
      <c r="F2072" s="2"/>
      <c r="G2072" s="2"/>
      <c r="H2072" s="2"/>
      <c r="I2072" s="2"/>
      <c r="J2072" s="2"/>
      <c r="K2072" s="2"/>
      <c r="L2072" s="2"/>
    </row>
    <row r="2073" spans="2:12" ht="13.2" x14ac:dyDescent="0.25">
      <c r="B2073" s="2"/>
      <c r="C2073" s="2"/>
      <c r="D2073" s="2"/>
      <c r="E2073" s="2"/>
      <c r="F2073" s="2"/>
      <c r="G2073" s="2"/>
      <c r="H2073" s="2"/>
      <c r="I2073" s="2"/>
      <c r="J2073" s="2"/>
      <c r="K2073" s="2"/>
      <c r="L2073" s="2"/>
    </row>
    <row r="2074" spans="2:12" ht="13.2" x14ac:dyDescent="0.25">
      <c r="B2074" s="2"/>
      <c r="C2074" s="2"/>
      <c r="D2074" s="2"/>
      <c r="E2074" s="2"/>
      <c r="F2074" s="2"/>
      <c r="G2074" s="2"/>
      <c r="H2074" s="2"/>
      <c r="I2074" s="2"/>
      <c r="J2074" s="2"/>
      <c r="K2074" s="2"/>
      <c r="L2074" s="2"/>
    </row>
    <row r="2075" spans="2:12" ht="13.2" x14ac:dyDescent="0.25">
      <c r="B2075" s="2"/>
      <c r="C2075" s="2"/>
      <c r="D2075" s="2"/>
      <c r="E2075" s="2"/>
      <c r="F2075" s="2"/>
      <c r="G2075" s="2"/>
      <c r="H2075" s="2"/>
      <c r="I2075" s="2"/>
      <c r="J2075" s="2"/>
      <c r="K2075" s="2"/>
      <c r="L2075" s="2"/>
    </row>
    <row r="2076" spans="2:12" ht="13.2" x14ac:dyDescent="0.25">
      <c r="B2076" s="2"/>
      <c r="C2076" s="2"/>
      <c r="D2076" s="2"/>
      <c r="E2076" s="2"/>
      <c r="F2076" s="2"/>
      <c r="G2076" s="2"/>
      <c r="H2076" s="2"/>
      <c r="I2076" s="2"/>
      <c r="J2076" s="2"/>
      <c r="K2076" s="2"/>
      <c r="L2076" s="2"/>
    </row>
    <row r="2077" spans="2:12" ht="13.2" x14ac:dyDescent="0.25">
      <c r="B2077" s="2"/>
      <c r="C2077" s="2"/>
      <c r="D2077" s="2"/>
      <c r="E2077" s="2"/>
      <c r="F2077" s="2"/>
      <c r="G2077" s="2"/>
      <c r="H2077" s="2"/>
      <c r="I2077" s="2"/>
      <c r="J2077" s="2"/>
      <c r="K2077" s="2"/>
      <c r="L2077" s="2"/>
    </row>
    <row r="2078" spans="2:12" ht="13.2" x14ac:dyDescent="0.25">
      <c r="B2078" s="2"/>
      <c r="C2078" s="2"/>
      <c r="D2078" s="2"/>
      <c r="E2078" s="2"/>
      <c r="F2078" s="2"/>
      <c r="G2078" s="2"/>
      <c r="H2078" s="2"/>
      <c r="I2078" s="2"/>
      <c r="J2078" s="2"/>
      <c r="K2078" s="2"/>
      <c r="L2078" s="2"/>
    </row>
    <row r="2079" spans="2:12" ht="13.2" x14ac:dyDescent="0.25">
      <c r="B2079" s="2"/>
      <c r="C2079" s="2"/>
      <c r="D2079" s="2"/>
      <c r="E2079" s="2"/>
      <c r="F2079" s="2"/>
      <c r="G2079" s="2"/>
      <c r="H2079" s="2"/>
      <c r="I2079" s="2"/>
      <c r="J2079" s="2"/>
      <c r="K2079" s="2"/>
      <c r="L2079" s="2"/>
    </row>
    <row r="2080" spans="2:12" ht="13.2" x14ac:dyDescent="0.25">
      <c r="B2080" s="2"/>
      <c r="C2080" s="2"/>
      <c r="D2080" s="2"/>
      <c r="E2080" s="2"/>
      <c r="F2080" s="2"/>
      <c r="G2080" s="2"/>
      <c r="H2080" s="2"/>
      <c r="I2080" s="2"/>
      <c r="J2080" s="2"/>
      <c r="K2080" s="2"/>
      <c r="L2080" s="2"/>
    </row>
    <row r="2081" spans="2:12" ht="13.2" x14ac:dyDescent="0.25">
      <c r="B2081" s="2"/>
      <c r="C2081" s="2"/>
      <c r="D2081" s="2"/>
      <c r="E2081" s="2"/>
      <c r="F2081" s="2"/>
      <c r="G2081" s="2"/>
      <c r="H2081" s="2"/>
      <c r="I2081" s="2"/>
      <c r="J2081" s="2"/>
      <c r="K2081" s="2"/>
      <c r="L2081" s="2"/>
    </row>
    <row r="2082" spans="2:12" ht="13.2" x14ac:dyDescent="0.25">
      <c r="B2082" s="2"/>
      <c r="C2082" s="2"/>
      <c r="D2082" s="2"/>
      <c r="E2082" s="2"/>
      <c r="F2082" s="2"/>
      <c r="G2082" s="2"/>
      <c r="H2082" s="2"/>
      <c r="I2082" s="2"/>
      <c r="J2082" s="2"/>
      <c r="K2082" s="2"/>
      <c r="L2082" s="2"/>
    </row>
    <row r="2083" spans="2:12" ht="13.2" x14ac:dyDescent="0.25">
      <c r="B2083" s="2"/>
      <c r="C2083" s="2"/>
      <c r="D2083" s="2"/>
      <c r="E2083" s="2"/>
      <c r="F2083" s="2"/>
      <c r="G2083" s="2"/>
      <c r="H2083" s="2"/>
      <c r="I2083" s="2"/>
      <c r="J2083" s="2"/>
      <c r="K2083" s="2"/>
      <c r="L2083" s="2"/>
    </row>
    <row r="2084" spans="2:12" ht="13.2" x14ac:dyDescent="0.25">
      <c r="B2084" s="2"/>
      <c r="C2084" s="2"/>
      <c r="D2084" s="2"/>
      <c r="E2084" s="2"/>
      <c r="F2084" s="2"/>
      <c r="G2084" s="2"/>
      <c r="H2084" s="2"/>
      <c r="I2084" s="2"/>
      <c r="J2084" s="2"/>
      <c r="K2084" s="2"/>
      <c r="L2084" s="2"/>
    </row>
    <row r="2085" spans="2:12" ht="13.2" x14ac:dyDescent="0.25">
      <c r="B2085" s="2"/>
      <c r="C2085" s="2"/>
      <c r="D2085" s="2"/>
      <c r="E2085" s="2"/>
      <c r="F2085" s="2"/>
      <c r="G2085" s="2"/>
      <c r="H2085" s="2"/>
      <c r="I2085" s="2"/>
      <c r="J2085" s="2"/>
      <c r="K2085" s="2"/>
      <c r="L2085" s="2"/>
    </row>
    <row r="2086" spans="2:12" ht="13.2" x14ac:dyDescent="0.25">
      <c r="B2086" s="2"/>
      <c r="C2086" s="2"/>
      <c r="D2086" s="2"/>
      <c r="E2086" s="2"/>
      <c r="F2086" s="2"/>
      <c r="G2086" s="2"/>
      <c r="H2086" s="2"/>
      <c r="I2086" s="2"/>
      <c r="J2086" s="2"/>
      <c r="K2086" s="2"/>
      <c r="L2086" s="2"/>
    </row>
    <row r="2087" spans="2:12" ht="13.2" x14ac:dyDescent="0.25">
      <c r="B2087" s="2"/>
      <c r="C2087" s="2"/>
      <c r="D2087" s="2"/>
      <c r="E2087" s="2"/>
      <c r="F2087" s="2"/>
      <c r="G2087" s="2"/>
      <c r="H2087" s="2"/>
      <c r="I2087" s="2"/>
      <c r="J2087" s="2"/>
      <c r="K2087" s="2"/>
      <c r="L2087" s="2"/>
    </row>
    <row r="2088" spans="2:12" ht="13.2" x14ac:dyDescent="0.25">
      <c r="B2088" s="2"/>
      <c r="C2088" s="2"/>
      <c r="D2088" s="2"/>
      <c r="E2088" s="2"/>
      <c r="F2088" s="2"/>
      <c r="G2088" s="2"/>
      <c r="H2088" s="2"/>
      <c r="I2088" s="2"/>
      <c r="J2088" s="2"/>
      <c r="K2088" s="2"/>
      <c r="L2088" s="2"/>
    </row>
    <row r="2089" spans="2:12" ht="13.2" x14ac:dyDescent="0.25">
      <c r="B2089" s="2"/>
      <c r="C2089" s="2"/>
      <c r="D2089" s="2"/>
      <c r="E2089" s="2"/>
      <c r="F2089" s="2"/>
      <c r="G2089" s="2"/>
      <c r="H2089" s="2"/>
      <c r="I2089" s="2"/>
      <c r="J2089" s="2"/>
      <c r="K2089" s="2"/>
      <c r="L2089" s="2"/>
    </row>
    <row r="2090" spans="2:12" ht="13.2" x14ac:dyDescent="0.25">
      <c r="B2090" s="2"/>
      <c r="C2090" s="2"/>
      <c r="D2090" s="2"/>
      <c r="E2090" s="2"/>
      <c r="F2090" s="2"/>
      <c r="G2090" s="2"/>
      <c r="H2090" s="2"/>
      <c r="I2090" s="2"/>
      <c r="J2090" s="2"/>
      <c r="K2090" s="2"/>
      <c r="L2090" s="2"/>
    </row>
    <row r="2091" spans="2:12" ht="13.2" x14ac:dyDescent="0.25">
      <c r="B2091" s="2"/>
      <c r="C2091" s="2"/>
      <c r="D2091" s="2"/>
      <c r="E2091" s="2"/>
      <c r="F2091" s="2"/>
      <c r="G2091" s="2"/>
      <c r="H2091" s="2"/>
      <c r="I2091" s="2"/>
      <c r="J2091" s="2"/>
      <c r="K2091" s="2"/>
      <c r="L2091" s="2"/>
    </row>
    <row r="2092" spans="2:12" ht="13.2" x14ac:dyDescent="0.25">
      <c r="B2092" s="2"/>
      <c r="C2092" s="2"/>
      <c r="D2092" s="2"/>
      <c r="E2092" s="2"/>
      <c r="F2092" s="2"/>
      <c r="G2092" s="2"/>
      <c r="H2092" s="2"/>
      <c r="I2092" s="2"/>
      <c r="J2092" s="2"/>
      <c r="K2092" s="2"/>
      <c r="L2092" s="2"/>
    </row>
    <row r="2093" spans="2:12" ht="13.2" x14ac:dyDescent="0.25">
      <c r="B2093" s="2"/>
      <c r="C2093" s="2"/>
      <c r="D2093" s="2"/>
      <c r="E2093" s="2"/>
      <c r="F2093" s="2"/>
      <c r="G2093" s="2"/>
      <c r="H2093" s="2"/>
      <c r="I2093" s="2"/>
      <c r="J2093" s="2"/>
      <c r="K2093" s="2"/>
      <c r="L2093" s="2"/>
    </row>
    <row r="2094" spans="2:12" ht="13.2" x14ac:dyDescent="0.25">
      <c r="B2094" s="2"/>
      <c r="C2094" s="2"/>
      <c r="D2094" s="2"/>
      <c r="E2094" s="2"/>
      <c r="F2094" s="2"/>
      <c r="G2094" s="2"/>
      <c r="H2094" s="2"/>
      <c r="I2094" s="2"/>
      <c r="J2094" s="2"/>
      <c r="K2094" s="2"/>
      <c r="L2094" s="2"/>
    </row>
    <row r="2095" spans="2:12" ht="13.2" x14ac:dyDescent="0.25">
      <c r="B2095" s="2"/>
      <c r="C2095" s="2"/>
      <c r="D2095" s="2"/>
      <c r="E2095" s="2"/>
      <c r="F2095" s="2"/>
      <c r="G2095" s="2"/>
      <c r="H2095" s="2"/>
      <c r="I2095" s="2"/>
      <c r="J2095" s="2"/>
      <c r="K2095" s="2"/>
      <c r="L2095" s="2"/>
    </row>
    <row r="2096" spans="2:12" ht="13.2" x14ac:dyDescent="0.25">
      <c r="B2096" s="2"/>
      <c r="C2096" s="2"/>
      <c r="D2096" s="2"/>
      <c r="E2096" s="2"/>
      <c r="F2096" s="2"/>
      <c r="G2096" s="2"/>
      <c r="H2096" s="2"/>
      <c r="I2096" s="2"/>
      <c r="J2096" s="2"/>
      <c r="K2096" s="2"/>
      <c r="L2096" s="2"/>
    </row>
    <row r="2097" spans="2:12" ht="13.2" x14ac:dyDescent="0.25">
      <c r="B2097" s="2"/>
      <c r="C2097" s="2"/>
      <c r="D2097" s="2"/>
      <c r="E2097" s="2"/>
      <c r="F2097" s="2"/>
      <c r="G2097" s="2"/>
      <c r="H2097" s="2"/>
      <c r="I2097" s="2"/>
      <c r="J2097" s="2"/>
      <c r="K2097" s="2"/>
      <c r="L2097" s="2"/>
    </row>
    <row r="2098" spans="2:12" ht="13.2" x14ac:dyDescent="0.25">
      <c r="B2098" s="2"/>
      <c r="C2098" s="2"/>
      <c r="D2098" s="2"/>
      <c r="E2098" s="2"/>
      <c r="F2098" s="2"/>
      <c r="G2098" s="2"/>
      <c r="H2098" s="2"/>
      <c r="I2098" s="2"/>
      <c r="J2098" s="2"/>
      <c r="K2098" s="2"/>
      <c r="L2098" s="2"/>
    </row>
    <row r="2099" spans="2:12" ht="13.2" x14ac:dyDescent="0.25">
      <c r="B2099" s="2"/>
      <c r="C2099" s="2"/>
      <c r="D2099" s="2"/>
      <c r="E2099" s="2"/>
      <c r="F2099" s="2"/>
      <c r="G2099" s="2"/>
      <c r="H2099" s="2"/>
      <c r="I2099" s="2"/>
      <c r="J2099" s="2"/>
      <c r="K2099" s="2"/>
      <c r="L2099" s="2"/>
    </row>
    <row r="2100" spans="2:12" ht="13.2" x14ac:dyDescent="0.25">
      <c r="B2100" s="2"/>
      <c r="C2100" s="2"/>
      <c r="D2100" s="2"/>
      <c r="E2100" s="2"/>
      <c r="F2100" s="2"/>
      <c r="G2100" s="2"/>
      <c r="H2100" s="2"/>
      <c r="I2100" s="2"/>
      <c r="J2100" s="2"/>
      <c r="K2100" s="2"/>
      <c r="L2100" s="2"/>
    </row>
    <row r="2101" spans="2:12" ht="13.2" x14ac:dyDescent="0.25">
      <c r="B2101" s="2"/>
      <c r="C2101" s="2"/>
      <c r="D2101" s="2"/>
      <c r="E2101" s="2"/>
      <c r="F2101" s="2"/>
      <c r="G2101" s="2"/>
      <c r="H2101" s="2"/>
      <c r="I2101" s="2"/>
      <c r="J2101" s="2"/>
      <c r="K2101" s="2"/>
      <c r="L2101" s="2"/>
    </row>
    <row r="2102" spans="2:12" ht="13.2" x14ac:dyDescent="0.25">
      <c r="B2102" s="2"/>
      <c r="C2102" s="2"/>
      <c r="D2102" s="2"/>
      <c r="E2102" s="2"/>
      <c r="F2102" s="2"/>
      <c r="G2102" s="2"/>
      <c r="H2102" s="2"/>
      <c r="I2102" s="2"/>
      <c r="J2102" s="2"/>
      <c r="K2102" s="2"/>
      <c r="L2102" s="2"/>
    </row>
  </sheetData>
  <mergeCells count="255">
    <mergeCell ref="B17:B21"/>
    <mergeCell ref="B23:B27"/>
    <mergeCell ref="B29:B33"/>
    <mergeCell ref="B35:B39"/>
    <mergeCell ref="B41:B45"/>
    <mergeCell ref="B47:B51"/>
    <mergeCell ref="G3:N3"/>
    <mergeCell ref="H4:H74"/>
    <mergeCell ref="J4:J27"/>
    <mergeCell ref="L4:L38"/>
    <mergeCell ref="N4:N50"/>
    <mergeCell ref="B5:B9"/>
    <mergeCell ref="B11:B15"/>
    <mergeCell ref="B65:B69"/>
    <mergeCell ref="B53:B57"/>
    <mergeCell ref="B59:B63"/>
    <mergeCell ref="B71:B75"/>
    <mergeCell ref="B77:B81"/>
    <mergeCell ref="B83:B87"/>
    <mergeCell ref="B89:B93"/>
    <mergeCell ref="B95:B99"/>
    <mergeCell ref="B143:B147"/>
    <mergeCell ref="B149:B153"/>
    <mergeCell ref="B155:B159"/>
    <mergeCell ref="B163:C163"/>
    <mergeCell ref="D163:W163"/>
    <mergeCell ref="B101:B105"/>
    <mergeCell ref="B107:B111"/>
    <mergeCell ref="B113:B117"/>
    <mergeCell ref="B119:B123"/>
    <mergeCell ref="B125:B129"/>
    <mergeCell ref="B131:B135"/>
    <mergeCell ref="B137:B141"/>
    <mergeCell ref="B165:B169"/>
    <mergeCell ref="B170:B174"/>
    <mergeCell ref="B175:B179"/>
    <mergeCell ref="B180:B184"/>
    <mergeCell ref="B185:B189"/>
    <mergeCell ref="B190:B194"/>
    <mergeCell ref="B195:B199"/>
    <mergeCell ref="B200:B204"/>
    <mergeCell ref="B205:B209"/>
    <mergeCell ref="B210:B214"/>
    <mergeCell ref="B215:B219"/>
    <mergeCell ref="B220:B224"/>
    <mergeCell ref="B225:B229"/>
    <mergeCell ref="B230:B234"/>
    <mergeCell ref="B270:B274"/>
    <mergeCell ref="B275:B279"/>
    <mergeCell ref="B280:B284"/>
    <mergeCell ref="B285:B289"/>
    <mergeCell ref="B290:B294"/>
    <mergeCell ref="B297:C297"/>
    <mergeCell ref="D297:W297"/>
    <mergeCell ref="B235:B239"/>
    <mergeCell ref="B240:B244"/>
    <mergeCell ref="B245:B249"/>
    <mergeCell ref="B250:B254"/>
    <mergeCell ref="B255:B259"/>
    <mergeCell ref="B260:B264"/>
    <mergeCell ref="B265:B269"/>
    <mergeCell ref="B299:B303"/>
    <mergeCell ref="B304:B308"/>
    <mergeCell ref="B309:B313"/>
    <mergeCell ref="B314:B318"/>
    <mergeCell ref="B319:B323"/>
    <mergeCell ref="B324:B328"/>
    <mergeCell ref="B329:B333"/>
    <mergeCell ref="B404:B408"/>
    <mergeCell ref="B409:B413"/>
    <mergeCell ref="B414:B418"/>
    <mergeCell ref="B419:B423"/>
    <mergeCell ref="B424:B428"/>
    <mergeCell ref="B432:C432"/>
    <mergeCell ref="D432:W432"/>
    <mergeCell ref="B434:B438"/>
    <mergeCell ref="B439:B443"/>
    <mergeCell ref="D567:T567"/>
    <mergeCell ref="B334:B338"/>
    <mergeCell ref="B339:B343"/>
    <mergeCell ref="B344:B348"/>
    <mergeCell ref="B349:B353"/>
    <mergeCell ref="B354:B358"/>
    <mergeCell ref="B359:B363"/>
    <mergeCell ref="B364:B368"/>
    <mergeCell ref="B369:B373"/>
    <mergeCell ref="B374:B378"/>
    <mergeCell ref="B379:B383"/>
    <mergeCell ref="B384:B388"/>
    <mergeCell ref="B389:B393"/>
    <mergeCell ref="B394:B398"/>
    <mergeCell ref="B399:B403"/>
    <mergeCell ref="B444:B448"/>
    <mergeCell ref="B449:B453"/>
    <mergeCell ref="B454:B458"/>
    <mergeCell ref="B459:B463"/>
    <mergeCell ref="B464:B468"/>
    <mergeCell ref="B469:B473"/>
    <mergeCell ref="B474:B478"/>
    <mergeCell ref="B479:B483"/>
    <mergeCell ref="B484:B488"/>
    <mergeCell ref="B489:B493"/>
    <mergeCell ref="B494:B498"/>
    <mergeCell ref="B499:B503"/>
    <mergeCell ref="B504:B508"/>
    <mergeCell ref="B509:B513"/>
    <mergeCell ref="B514:B518"/>
    <mergeCell ref="B519:B523"/>
    <mergeCell ref="B524:B528"/>
    <mergeCell ref="B529:B533"/>
    <mergeCell ref="B534:B538"/>
    <mergeCell ref="B539:B543"/>
    <mergeCell ref="B544:B548"/>
    <mergeCell ref="B549:B553"/>
    <mergeCell ref="B554:B558"/>
    <mergeCell ref="B559:B563"/>
    <mergeCell ref="B567:C567"/>
    <mergeCell ref="B569:B573"/>
    <mergeCell ref="B574:B578"/>
    <mergeCell ref="B579:B583"/>
    <mergeCell ref="B584:B588"/>
    <mergeCell ref="B589:B593"/>
    <mergeCell ref="B594:B598"/>
    <mergeCell ref="B599:B603"/>
    <mergeCell ref="B604:B608"/>
    <mergeCell ref="B609:B613"/>
    <mergeCell ref="B614:B618"/>
    <mergeCell ref="B619:B623"/>
    <mergeCell ref="B624:B628"/>
    <mergeCell ref="B629:B633"/>
    <mergeCell ref="B634:B638"/>
    <mergeCell ref="B639:B643"/>
    <mergeCell ref="B644:B648"/>
    <mergeCell ref="B649:B653"/>
    <mergeCell ref="B689:B693"/>
    <mergeCell ref="B694:B698"/>
    <mergeCell ref="B701:C701"/>
    <mergeCell ref="D701:R701"/>
    <mergeCell ref="B654:B658"/>
    <mergeCell ref="B659:B663"/>
    <mergeCell ref="B664:B668"/>
    <mergeCell ref="B669:B673"/>
    <mergeCell ref="B674:B678"/>
    <mergeCell ref="B679:B683"/>
    <mergeCell ref="B684:B688"/>
    <mergeCell ref="B703:B707"/>
    <mergeCell ref="B708:B712"/>
    <mergeCell ref="B713:B717"/>
    <mergeCell ref="B718:B722"/>
    <mergeCell ref="B723:B727"/>
    <mergeCell ref="B728:B732"/>
    <mergeCell ref="B733:B737"/>
    <mergeCell ref="B738:B742"/>
    <mergeCell ref="B743:B747"/>
    <mergeCell ref="B748:B752"/>
    <mergeCell ref="B753:B757"/>
    <mergeCell ref="B758:B762"/>
    <mergeCell ref="B763:B767"/>
    <mergeCell ref="B768:B772"/>
    <mergeCell ref="B808:B812"/>
    <mergeCell ref="B813:B817"/>
    <mergeCell ref="B818:B822"/>
    <mergeCell ref="B823:B827"/>
    <mergeCell ref="B828:B832"/>
    <mergeCell ref="B836:C836"/>
    <mergeCell ref="D836:R836"/>
    <mergeCell ref="B773:B777"/>
    <mergeCell ref="B778:B782"/>
    <mergeCell ref="B783:B787"/>
    <mergeCell ref="B788:B792"/>
    <mergeCell ref="B793:B797"/>
    <mergeCell ref="B798:B802"/>
    <mergeCell ref="B803:B807"/>
    <mergeCell ref="B1119:B1123"/>
    <mergeCell ref="B1124:B1128"/>
    <mergeCell ref="B1129:B1133"/>
    <mergeCell ref="B1134:B1138"/>
    <mergeCell ref="B1088:B1092"/>
    <mergeCell ref="B1093:B1097"/>
    <mergeCell ref="B1098:B1102"/>
    <mergeCell ref="B1107:C1107"/>
    <mergeCell ref="B1008:B1012"/>
    <mergeCell ref="B1013:B1017"/>
    <mergeCell ref="B1018:B1022"/>
    <mergeCell ref="B1023:B1027"/>
    <mergeCell ref="B1028:B1032"/>
    <mergeCell ref="B1033:B1037"/>
    <mergeCell ref="B1038:B1042"/>
    <mergeCell ref="B1043:B1047"/>
    <mergeCell ref="B1048:B1052"/>
    <mergeCell ref="B1139:B1143"/>
    <mergeCell ref="B1144:B1148"/>
    <mergeCell ref="B1149:B1153"/>
    <mergeCell ref="B1154:B1158"/>
    <mergeCell ref="B1159:B1163"/>
    <mergeCell ref="B1164:B1168"/>
    <mergeCell ref="B1169:B1173"/>
    <mergeCell ref="B1174:B1178"/>
    <mergeCell ref="B1179:B1183"/>
    <mergeCell ref="B1184:B1188"/>
    <mergeCell ref="B1224:B1228"/>
    <mergeCell ref="B1229:B1233"/>
    <mergeCell ref="B1234:B1238"/>
    <mergeCell ref="B1189:B1193"/>
    <mergeCell ref="B1194:B1198"/>
    <mergeCell ref="B1199:B1203"/>
    <mergeCell ref="B1204:B1208"/>
    <mergeCell ref="B1209:B1213"/>
    <mergeCell ref="B1214:B1218"/>
    <mergeCell ref="B1219:B1223"/>
    <mergeCell ref="B838:B842"/>
    <mergeCell ref="B843:B847"/>
    <mergeCell ref="B848:B852"/>
    <mergeCell ref="B853:B857"/>
    <mergeCell ref="B858:B862"/>
    <mergeCell ref="B863:B867"/>
    <mergeCell ref="B868:B872"/>
    <mergeCell ref="B873:B877"/>
    <mergeCell ref="B878:B882"/>
    <mergeCell ref="B883:B887"/>
    <mergeCell ref="B888:B892"/>
    <mergeCell ref="B893:B897"/>
    <mergeCell ref="B898:B902"/>
    <mergeCell ref="B903:B907"/>
    <mergeCell ref="B943:B947"/>
    <mergeCell ref="B948:B952"/>
    <mergeCell ref="B953:B957"/>
    <mergeCell ref="B958:B962"/>
    <mergeCell ref="B963:B967"/>
    <mergeCell ref="B971:C971"/>
    <mergeCell ref="D971:W971"/>
    <mergeCell ref="B908:B912"/>
    <mergeCell ref="B913:B917"/>
    <mergeCell ref="B918:B922"/>
    <mergeCell ref="B923:B927"/>
    <mergeCell ref="B928:B932"/>
    <mergeCell ref="B933:B937"/>
    <mergeCell ref="B938:B942"/>
    <mergeCell ref="D1107:W1107"/>
    <mergeCell ref="B1109:B1113"/>
    <mergeCell ref="B1114:B1118"/>
    <mergeCell ref="B973:B977"/>
    <mergeCell ref="B978:B982"/>
    <mergeCell ref="B983:B987"/>
    <mergeCell ref="B988:B992"/>
    <mergeCell ref="B993:B997"/>
    <mergeCell ref="B998:B1002"/>
    <mergeCell ref="B1003:B1007"/>
    <mergeCell ref="B1078:B1082"/>
    <mergeCell ref="B1083:B1087"/>
    <mergeCell ref="B1053:B1057"/>
    <mergeCell ref="B1058:B1062"/>
    <mergeCell ref="B1063:B1067"/>
    <mergeCell ref="B1068:B1072"/>
    <mergeCell ref="B1073:B1077"/>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632F-2D80-48EF-9A29-7DD5E29B8E07}">
  <dimension ref="C1:H159"/>
  <sheetViews>
    <sheetView topLeftCell="A178" workbookViewId="0">
      <selection activeCell="L12" sqref="L12"/>
    </sheetView>
  </sheetViews>
  <sheetFormatPr defaultRowHeight="13.2" x14ac:dyDescent="0.25"/>
  <cols>
    <col min="3" max="3" width="12" bestFit="1" customWidth="1"/>
    <col min="4" max="4" width="10.88671875" bestFit="1" customWidth="1"/>
    <col min="5" max="5" width="15.88671875" bestFit="1" customWidth="1"/>
  </cols>
  <sheetData>
    <row r="1" spans="3:8" ht="13.8" thickBot="1" x14ac:dyDescent="0.3"/>
    <row r="2" spans="3:8" ht="14.4" x14ac:dyDescent="0.25">
      <c r="C2" s="130" t="s">
        <v>6</v>
      </c>
      <c r="D2" s="130" t="s">
        <v>7</v>
      </c>
      <c r="E2" s="130" t="s">
        <v>220</v>
      </c>
      <c r="F2" s="132" t="s">
        <v>196</v>
      </c>
      <c r="G2" s="59"/>
      <c r="H2" s="59"/>
    </row>
    <row r="3" spans="3:8" ht="15" thickBot="1" x14ac:dyDescent="0.35">
      <c r="C3" s="131"/>
      <c r="D3" s="131"/>
      <c r="E3" s="131"/>
      <c r="F3" s="133"/>
      <c r="G3" s="58"/>
      <c r="H3" s="59"/>
    </row>
    <row r="4" spans="3:8" ht="15" thickBot="1" x14ac:dyDescent="0.3">
      <c r="C4" s="127" t="s">
        <v>18</v>
      </c>
      <c r="D4" s="63">
        <v>2018</v>
      </c>
      <c r="E4" s="63">
        <v>10</v>
      </c>
      <c r="F4" s="63">
        <v>0.55600000000000005</v>
      </c>
      <c r="G4" s="59"/>
      <c r="H4" s="59"/>
    </row>
    <row r="5" spans="3:8" ht="15" thickBot="1" x14ac:dyDescent="0.3">
      <c r="C5" s="128"/>
      <c r="D5" s="63">
        <v>2019</v>
      </c>
      <c r="E5" s="63">
        <v>13</v>
      </c>
      <c r="F5" s="63">
        <v>0.72199999999999998</v>
      </c>
      <c r="G5" s="59"/>
      <c r="H5" s="59"/>
    </row>
    <row r="6" spans="3:8" ht="15" thickBot="1" x14ac:dyDescent="0.3">
      <c r="C6" s="128"/>
      <c r="D6" s="63">
        <v>2020</v>
      </c>
      <c r="E6" s="63">
        <v>17</v>
      </c>
      <c r="F6" s="63">
        <v>0.94399999999999995</v>
      </c>
      <c r="G6" s="59"/>
      <c r="H6" s="59"/>
    </row>
    <row r="7" spans="3:8" ht="15" thickBot="1" x14ac:dyDescent="0.3">
      <c r="C7" s="128"/>
      <c r="D7" s="63">
        <v>2021</v>
      </c>
      <c r="E7" s="63">
        <v>11</v>
      </c>
      <c r="F7" s="63">
        <v>0.61099999999999999</v>
      </c>
      <c r="G7" s="59"/>
      <c r="H7" s="59"/>
    </row>
    <row r="8" spans="3:8" ht="15" thickBot="1" x14ac:dyDescent="0.3">
      <c r="C8" s="129"/>
      <c r="D8" s="63">
        <v>2022</v>
      </c>
      <c r="E8" s="63">
        <v>13</v>
      </c>
      <c r="F8" s="63">
        <v>0.72199999999999998</v>
      </c>
      <c r="G8" s="59"/>
      <c r="H8" s="59"/>
    </row>
    <row r="9" spans="3:8" s="38" customFormat="1" ht="15" thickBot="1" x14ac:dyDescent="0.3">
      <c r="C9" s="64"/>
      <c r="D9" s="62" t="s">
        <v>219</v>
      </c>
      <c r="E9" s="62">
        <f>SUM(E4:E8)/5</f>
        <v>12.8</v>
      </c>
      <c r="F9" s="62">
        <f>SUM(F4:F8)/5</f>
        <v>0.71100000000000008</v>
      </c>
      <c r="G9" s="61"/>
      <c r="H9" s="61"/>
    </row>
    <row r="10" spans="3:8" ht="15" thickBot="1" x14ac:dyDescent="0.3">
      <c r="C10" s="127" t="s">
        <v>39</v>
      </c>
      <c r="D10" s="63">
        <v>2018</v>
      </c>
      <c r="E10" s="63">
        <v>5</v>
      </c>
      <c r="F10" s="63">
        <v>0.27800000000000002</v>
      </c>
      <c r="G10" s="59"/>
      <c r="H10" s="59"/>
    </row>
    <row r="11" spans="3:8" ht="15" thickBot="1" x14ac:dyDescent="0.3">
      <c r="C11" s="128"/>
      <c r="D11" s="63">
        <v>2019</v>
      </c>
      <c r="E11" s="63">
        <v>11</v>
      </c>
      <c r="F11" s="63">
        <v>0.61099999999999999</v>
      </c>
      <c r="G11" s="59"/>
      <c r="H11" s="59"/>
    </row>
    <row r="12" spans="3:8" ht="15" thickBot="1" x14ac:dyDescent="0.3">
      <c r="C12" s="128"/>
      <c r="D12" s="63">
        <v>2020</v>
      </c>
      <c r="E12" s="63">
        <v>11</v>
      </c>
      <c r="F12" s="63">
        <v>0.61099999999999999</v>
      </c>
      <c r="G12" s="59"/>
      <c r="H12" s="59"/>
    </row>
    <row r="13" spans="3:8" ht="15" thickBot="1" x14ac:dyDescent="0.3">
      <c r="C13" s="128"/>
      <c r="D13" s="63">
        <v>2021</v>
      </c>
      <c r="E13" s="63">
        <v>14</v>
      </c>
      <c r="F13" s="63">
        <v>0.77800000000000002</v>
      </c>
      <c r="G13" s="59"/>
      <c r="H13" s="59"/>
    </row>
    <row r="14" spans="3:8" ht="15" thickBot="1" x14ac:dyDescent="0.3">
      <c r="C14" s="129"/>
      <c r="D14" s="63">
        <v>2022</v>
      </c>
      <c r="E14" s="63">
        <v>17</v>
      </c>
      <c r="F14" s="63">
        <v>0.94399999999999995</v>
      </c>
      <c r="G14" s="59"/>
      <c r="H14" s="59"/>
    </row>
    <row r="15" spans="3:8" s="38" customFormat="1" ht="15" thickBot="1" x14ac:dyDescent="0.3">
      <c r="C15" s="64"/>
      <c r="D15" s="62" t="s">
        <v>219</v>
      </c>
      <c r="E15" s="62">
        <f>SUM(E10:E14)/5</f>
        <v>11.6</v>
      </c>
      <c r="F15" s="62">
        <f>SUM(F10:F14)/5</f>
        <v>0.64439999999999997</v>
      </c>
      <c r="G15" s="61"/>
      <c r="H15" s="61"/>
    </row>
    <row r="16" spans="3:8" ht="15" thickBot="1" x14ac:dyDescent="0.3">
      <c r="C16" s="127" t="s">
        <v>60</v>
      </c>
      <c r="D16" s="63">
        <v>2018</v>
      </c>
      <c r="E16" s="63">
        <v>13</v>
      </c>
      <c r="F16" s="63">
        <v>0.72199999999999998</v>
      </c>
      <c r="G16" s="59"/>
      <c r="H16" s="59"/>
    </row>
    <row r="17" spans="3:8" ht="15" thickBot="1" x14ac:dyDescent="0.3">
      <c r="C17" s="128"/>
      <c r="D17" s="63">
        <v>2019</v>
      </c>
      <c r="E17" s="63">
        <v>15</v>
      </c>
      <c r="F17" s="63">
        <v>0.83299999999999996</v>
      </c>
      <c r="G17" s="59"/>
      <c r="H17" s="59"/>
    </row>
    <row r="18" spans="3:8" ht="15" thickBot="1" x14ac:dyDescent="0.3">
      <c r="C18" s="128"/>
      <c r="D18" s="63">
        <v>2020</v>
      </c>
      <c r="E18" s="63">
        <v>11</v>
      </c>
      <c r="F18" s="63">
        <v>0.61099999999999999</v>
      </c>
      <c r="G18" s="59"/>
      <c r="H18" s="59"/>
    </row>
    <row r="19" spans="3:8" ht="15" thickBot="1" x14ac:dyDescent="0.3">
      <c r="C19" s="128"/>
      <c r="D19" s="63">
        <v>2021</v>
      </c>
      <c r="E19" s="63">
        <v>9</v>
      </c>
      <c r="F19" s="63">
        <v>0.5</v>
      </c>
      <c r="G19" s="59"/>
      <c r="H19" s="59"/>
    </row>
    <row r="20" spans="3:8" ht="15" thickBot="1" x14ac:dyDescent="0.3">
      <c r="C20" s="129"/>
      <c r="D20" s="63">
        <v>2022</v>
      </c>
      <c r="E20" s="63">
        <v>11</v>
      </c>
      <c r="F20" s="63">
        <v>0.61099999999999999</v>
      </c>
      <c r="G20" s="59"/>
      <c r="H20" s="59"/>
    </row>
    <row r="21" spans="3:8" s="38" customFormat="1" ht="15" thickBot="1" x14ac:dyDescent="0.3">
      <c r="C21" s="64"/>
      <c r="D21" s="62" t="s">
        <v>219</v>
      </c>
      <c r="E21" s="62">
        <f>SUM(E16:E20)/5</f>
        <v>11.8</v>
      </c>
      <c r="F21" s="62">
        <f>SUM(F16:F20)/5</f>
        <v>0.65539999999999998</v>
      </c>
      <c r="G21" s="61"/>
      <c r="H21" s="61"/>
    </row>
    <row r="22" spans="3:8" ht="15" thickBot="1" x14ac:dyDescent="0.3">
      <c r="C22" s="127" t="s">
        <v>81</v>
      </c>
      <c r="D22" s="63">
        <v>2018</v>
      </c>
      <c r="E22" s="63">
        <v>10</v>
      </c>
      <c r="F22" s="63">
        <v>0.55600000000000005</v>
      </c>
      <c r="G22" s="59"/>
      <c r="H22" s="59"/>
    </row>
    <row r="23" spans="3:8" ht="15" thickBot="1" x14ac:dyDescent="0.3">
      <c r="C23" s="128"/>
      <c r="D23" s="63">
        <v>2019</v>
      </c>
      <c r="E23" s="63">
        <v>10</v>
      </c>
      <c r="F23" s="63">
        <v>0.55600000000000005</v>
      </c>
      <c r="G23" s="59"/>
      <c r="H23" s="59"/>
    </row>
    <row r="24" spans="3:8" ht="15" thickBot="1" x14ac:dyDescent="0.3">
      <c r="C24" s="128"/>
      <c r="D24" s="63">
        <v>2020</v>
      </c>
      <c r="E24" s="63">
        <v>10</v>
      </c>
      <c r="F24" s="63">
        <v>0.55600000000000005</v>
      </c>
      <c r="G24" s="59"/>
      <c r="H24" s="59"/>
    </row>
    <row r="25" spans="3:8" ht="15" thickBot="1" x14ac:dyDescent="0.3">
      <c r="C25" s="128"/>
      <c r="D25" s="63">
        <v>2021</v>
      </c>
      <c r="E25" s="63">
        <v>9</v>
      </c>
      <c r="F25" s="63">
        <v>0.5</v>
      </c>
      <c r="G25" s="59"/>
      <c r="H25" s="59"/>
    </row>
    <row r="26" spans="3:8" ht="15" thickBot="1" x14ac:dyDescent="0.3">
      <c r="C26" s="129"/>
      <c r="D26" s="63">
        <v>2022</v>
      </c>
      <c r="E26" s="63">
        <v>11</v>
      </c>
      <c r="F26" s="63">
        <v>0.61099999999999999</v>
      </c>
      <c r="G26" s="59"/>
      <c r="H26" s="59"/>
    </row>
    <row r="27" spans="3:8" s="38" customFormat="1" ht="15" thickBot="1" x14ac:dyDescent="0.3">
      <c r="C27" s="64"/>
      <c r="D27" s="62" t="s">
        <v>219</v>
      </c>
      <c r="E27" s="62">
        <f>SUM(E22:E26)/5</f>
        <v>10</v>
      </c>
      <c r="F27" s="62">
        <f>SUM(F22:F26)/5</f>
        <v>0.55579999999999996</v>
      </c>
      <c r="G27" s="61"/>
      <c r="H27" s="61"/>
    </row>
    <row r="28" spans="3:8" ht="15" thickBot="1" x14ac:dyDescent="0.3">
      <c r="C28" s="127" t="s">
        <v>98</v>
      </c>
      <c r="D28" s="63">
        <v>2018</v>
      </c>
      <c r="E28" s="63">
        <v>13</v>
      </c>
      <c r="F28" s="63">
        <v>0.72199999999999998</v>
      </c>
      <c r="G28" s="59"/>
      <c r="H28" s="59"/>
    </row>
    <row r="29" spans="3:8" ht="15" thickBot="1" x14ac:dyDescent="0.3">
      <c r="C29" s="128"/>
      <c r="D29" s="63">
        <v>2019</v>
      </c>
      <c r="E29" s="63">
        <v>9</v>
      </c>
      <c r="F29" s="63">
        <v>0.5</v>
      </c>
      <c r="G29" s="59"/>
      <c r="H29" s="59"/>
    </row>
    <row r="30" spans="3:8" ht="15" thickBot="1" x14ac:dyDescent="0.3">
      <c r="C30" s="128"/>
      <c r="D30" s="63">
        <v>2020</v>
      </c>
      <c r="E30" s="63">
        <v>6</v>
      </c>
      <c r="F30" s="63">
        <v>0.33300000000000002</v>
      </c>
      <c r="G30" s="59"/>
      <c r="H30" s="59"/>
    </row>
    <row r="31" spans="3:8" ht="15" thickBot="1" x14ac:dyDescent="0.3">
      <c r="C31" s="128"/>
      <c r="D31" s="63">
        <v>2021</v>
      </c>
      <c r="E31" s="63">
        <v>12</v>
      </c>
      <c r="F31" s="63">
        <v>0.66700000000000004</v>
      </c>
      <c r="G31" s="59"/>
      <c r="H31" s="59"/>
    </row>
    <row r="32" spans="3:8" ht="15" thickBot="1" x14ac:dyDescent="0.3">
      <c r="C32" s="129"/>
      <c r="D32" s="63">
        <v>2022</v>
      </c>
      <c r="E32" s="63">
        <v>10</v>
      </c>
      <c r="F32" s="63">
        <v>0.55600000000000005</v>
      </c>
      <c r="G32" s="59"/>
      <c r="H32" s="59"/>
    </row>
    <row r="33" spans="3:8" s="38" customFormat="1" ht="15" thickBot="1" x14ac:dyDescent="0.3">
      <c r="C33" s="64"/>
      <c r="D33" s="62" t="s">
        <v>219</v>
      </c>
      <c r="E33" s="62">
        <f>SUM(E28:E32)/5</f>
        <v>10</v>
      </c>
      <c r="F33" s="62">
        <f>SUM(F28:F32)/5</f>
        <v>0.55559999999999998</v>
      </c>
      <c r="G33" s="61"/>
      <c r="H33" s="61"/>
    </row>
    <row r="34" spans="3:8" ht="15" thickBot="1" x14ac:dyDescent="0.3">
      <c r="C34" s="127" t="s">
        <v>114</v>
      </c>
      <c r="D34" s="63">
        <v>2018</v>
      </c>
      <c r="E34" s="63">
        <v>13</v>
      </c>
      <c r="F34" s="63">
        <v>0.72199999999999998</v>
      </c>
      <c r="G34" s="59"/>
      <c r="H34" s="59"/>
    </row>
    <row r="35" spans="3:8" ht="15" thickBot="1" x14ac:dyDescent="0.3">
      <c r="C35" s="128"/>
      <c r="D35" s="63">
        <v>2019</v>
      </c>
      <c r="E35" s="63">
        <v>14</v>
      </c>
      <c r="F35" s="63">
        <v>0.77800000000000002</v>
      </c>
      <c r="G35" s="59"/>
      <c r="H35" s="59"/>
    </row>
    <row r="36" spans="3:8" ht="15" thickBot="1" x14ac:dyDescent="0.3">
      <c r="C36" s="128"/>
      <c r="D36" s="63">
        <v>2020</v>
      </c>
      <c r="E36" s="63">
        <v>11</v>
      </c>
      <c r="F36" s="63">
        <v>0.61099999999999999</v>
      </c>
      <c r="G36" s="59"/>
      <c r="H36" s="59"/>
    </row>
    <row r="37" spans="3:8" ht="15" thickBot="1" x14ac:dyDescent="0.3">
      <c r="C37" s="128"/>
      <c r="D37" s="63">
        <v>2021</v>
      </c>
      <c r="E37" s="63">
        <v>12</v>
      </c>
      <c r="F37" s="63">
        <v>0.66700000000000004</v>
      </c>
      <c r="G37" s="59"/>
      <c r="H37" s="59"/>
    </row>
    <row r="38" spans="3:8" ht="15" thickBot="1" x14ac:dyDescent="0.3">
      <c r="C38" s="129"/>
      <c r="D38" s="63">
        <v>2022</v>
      </c>
      <c r="E38" s="63">
        <v>10</v>
      </c>
      <c r="F38" s="63">
        <v>0.55600000000000005</v>
      </c>
      <c r="G38" s="59"/>
      <c r="H38" s="59"/>
    </row>
    <row r="39" spans="3:8" s="38" customFormat="1" ht="15" thickBot="1" x14ac:dyDescent="0.3">
      <c r="C39" s="64"/>
      <c r="D39" s="62" t="s">
        <v>219</v>
      </c>
      <c r="E39" s="62">
        <f>SUM(E34:E38)/5</f>
        <v>12</v>
      </c>
      <c r="F39" s="62">
        <f>SUM(F34:F38)/5</f>
        <v>0.66679999999999995</v>
      </c>
      <c r="G39" s="61"/>
      <c r="H39" s="61"/>
    </row>
    <row r="40" spans="3:8" ht="15" thickBot="1" x14ac:dyDescent="0.3">
      <c r="C40" s="127" t="s">
        <v>129</v>
      </c>
      <c r="D40" s="63">
        <v>2018</v>
      </c>
      <c r="E40" s="63">
        <v>11</v>
      </c>
      <c r="F40" s="63">
        <v>0.61099999999999999</v>
      </c>
      <c r="G40" s="59"/>
      <c r="H40" s="59"/>
    </row>
    <row r="41" spans="3:8" ht="15" thickBot="1" x14ac:dyDescent="0.3">
      <c r="C41" s="128"/>
      <c r="D41" s="63">
        <v>2019</v>
      </c>
      <c r="E41" s="63">
        <v>7</v>
      </c>
      <c r="F41" s="63">
        <v>0.38900000000000001</v>
      </c>
      <c r="G41" s="59"/>
      <c r="H41" s="59"/>
    </row>
    <row r="42" spans="3:8" ht="15" thickBot="1" x14ac:dyDescent="0.3">
      <c r="C42" s="128"/>
      <c r="D42" s="63">
        <v>2020</v>
      </c>
      <c r="E42" s="63">
        <v>8</v>
      </c>
      <c r="F42" s="63">
        <v>0.44400000000000001</v>
      </c>
      <c r="G42" s="59"/>
      <c r="H42" s="59"/>
    </row>
    <row r="43" spans="3:8" ht="15" thickBot="1" x14ac:dyDescent="0.3">
      <c r="C43" s="128"/>
      <c r="D43" s="63">
        <v>2021</v>
      </c>
      <c r="E43" s="63">
        <v>12</v>
      </c>
      <c r="F43" s="63">
        <v>0.66700000000000004</v>
      </c>
      <c r="G43" s="59"/>
      <c r="H43" s="59"/>
    </row>
    <row r="44" spans="3:8" ht="15" thickBot="1" x14ac:dyDescent="0.3">
      <c r="C44" s="129"/>
      <c r="D44" s="63">
        <v>2022</v>
      </c>
      <c r="E44" s="63">
        <v>10</v>
      </c>
      <c r="F44" s="63">
        <v>0.55600000000000005</v>
      </c>
      <c r="G44" s="59"/>
      <c r="H44" s="59"/>
    </row>
    <row r="45" spans="3:8" s="38" customFormat="1" ht="15" thickBot="1" x14ac:dyDescent="0.3">
      <c r="C45" s="64"/>
      <c r="D45" s="62" t="s">
        <v>219</v>
      </c>
      <c r="E45" s="62">
        <f>SUM(E40:E44)/5</f>
        <v>9.6</v>
      </c>
      <c r="F45" s="62">
        <f>SUM(F40:F44)/5</f>
        <v>0.53339999999999999</v>
      </c>
      <c r="G45" s="61"/>
      <c r="H45" s="61"/>
    </row>
    <row r="46" spans="3:8" ht="15" thickBot="1" x14ac:dyDescent="0.3">
      <c r="C46" s="127" t="s">
        <v>140</v>
      </c>
      <c r="D46" s="63">
        <v>2018</v>
      </c>
      <c r="E46" s="63">
        <v>10</v>
      </c>
      <c r="F46" s="63">
        <v>0.55600000000000005</v>
      </c>
      <c r="G46" s="59"/>
      <c r="H46" s="59"/>
    </row>
    <row r="47" spans="3:8" ht="15" thickBot="1" x14ac:dyDescent="0.3">
      <c r="C47" s="128"/>
      <c r="D47" s="63">
        <v>2019</v>
      </c>
      <c r="E47" s="63">
        <v>10</v>
      </c>
      <c r="F47" s="63">
        <v>0.55600000000000005</v>
      </c>
      <c r="G47" s="59"/>
      <c r="H47" s="59"/>
    </row>
    <row r="48" spans="3:8" ht="15" thickBot="1" x14ac:dyDescent="0.3">
      <c r="C48" s="128"/>
      <c r="D48" s="63">
        <v>2020</v>
      </c>
      <c r="E48" s="63">
        <v>11</v>
      </c>
      <c r="F48" s="63">
        <v>0.61099999999999999</v>
      </c>
      <c r="G48" s="59"/>
      <c r="H48" s="59"/>
    </row>
    <row r="49" spans="3:8" ht="15" thickBot="1" x14ac:dyDescent="0.3">
      <c r="C49" s="128"/>
      <c r="D49" s="63">
        <v>2021</v>
      </c>
      <c r="E49" s="63">
        <v>11</v>
      </c>
      <c r="F49" s="63">
        <v>0.61099999999999999</v>
      </c>
      <c r="G49" s="59"/>
      <c r="H49" s="59"/>
    </row>
    <row r="50" spans="3:8" ht="15" thickBot="1" x14ac:dyDescent="0.3">
      <c r="C50" s="129"/>
      <c r="D50" s="63">
        <v>2022</v>
      </c>
      <c r="E50" s="63">
        <v>11</v>
      </c>
      <c r="F50" s="63">
        <v>0.61099999999999999</v>
      </c>
      <c r="G50" s="59"/>
      <c r="H50" s="59"/>
    </row>
    <row r="51" spans="3:8" s="38" customFormat="1" ht="15" thickBot="1" x14ac:dyDescent="0.3">
      <c r="C51" s="64"/>
      <c r="D51" s="62" t="s">
        <v>219</v>
      </c>
      <c r="E51" s="62">
        <f>SUM(E46:E50)/5</f>
        <v>10.6</v>
      </c>
      <c r="F51" s="62">
        <f>SUM(F46:F50)/5</f>
        <v>0.58900000000000008</v>
      </c>
      <c r="G51" s="61"/>
      <c r="H51" s="61"/>
    </row>
    <row r="52" spans="3:8" ht="15" thickBot="1" x14ac:dyDescent="0.3">
      <c r="C52" s="127" t="s">
        <v>150</v>
      </c>
      <c r="D52" s="63">
        <v>2018</v>
      </c>
      <c r="E52" s="63">
        <v>9</v>
      </c>
      <c r="F52" s="63">
        <v>0.5</v>
      </c>
      <c r="G52" s="59"/>
      <c r="H52" s="59"/>
    </row>
    <row r="53" spans="3:8" ht="15" thickBot="1" x14ac:dyDescent="0.3">
      <c r="C53" s="128"/>
      <c r="D53" s="63">
        <v>2019</v>
      </c>
      <c r="E53" s="63">
        <v>11</v>
      </c>
      <c r="F53" s="63">
        <v>0.61099999999999999</v>
      </c>
      <c r="G53" s="59"/>
      <c r="H53" s="59"/>
    </row>
    <row r="54" spans="3:8" ht="15" thickBot="1" x14ac:dyDescent="0.3">
      <c r="C54" s="128"/>
      <c r="D54" s="63">
        <v>2020</v>
      </c>
      <c r="E54" s="63">
        <v>11</v>
      </c>
      <c r="F54" s="63">
        <v>0.61099999999999999</v>
      </c>
      <c r="G54" s="59"/>
      <c r="H54" s="59"/>
    </row>
    <row r="55" spans="3:8" ht="15" thickBot="1" x14ac:dyDescent="0.3">
      <c r="C55" s="128"/>
      <c r="D55" s="63">
        <v>2021</v>
      </c>
      <c r="E55" s="63">
        <v>14</v>
      </c>
      <c r="F55" s="63">
        <v>0.77800000000000002</v>
      </c>
      <c r="G55" s="59"/>
      <c r="H55" s="59"/>
    </row>
    <row r="56" spans="3:8" ht="15" thickBot="1" x14ac:dyDescent="0.3">
      <c r="C56" s="129"/>
      <c r="D56" s="63">
        <v>2022</v>
      </c>
      <c r="E56" s="63">
        <v>10</v>
      </c>
      <c r="F56" s="63">
        <v>0.55600000000000005</v>
      </c>
      <c r="G56" s="59"/>
      <c r="H56" s="59"/>
    </row>
    <row r="57" spans="3:8" s="38" customFormat="1" ht="15" thickBot="1" x14ac:dyDescent="0.3">
      <c r="C57" s="64"/>
      <c r="D57" s="62" t="s">
        <v>219</v>
      </c>
      <c r="E57" s="62">
        <f>SUM(E52:E56)/5</f>
        <v>11</v>
      </c>
      <c r="F57" s="62">
        <f>SUM(F52:F56)/5</f>
        <v>0.61119999999999997</v>
      </c>
      <c r="G57" s="61"/>
      <c r="H57" s="61"/>
    </row>
    <row r="58" spans="3:8" ht="15" thickBot="1" x14ac:dyDescent="0.3">
      <c r="C58" s="127" t="s">
        <v>156</v>
      </c>
      <c r="D58" s="63">
        <v>2018</v>
      </c>
      <c r="E58" s="63">
        <v>10</v>
      </c>
      <c r="F58" s="63">
        <v>0.55600000000000005</v>
      </c>
      <c r="G58" s="59"/>
      <c r="H58" s="59"/>
    </row>
    <row r="59" spans="3:8" ht="15" thickBot="1" x14ac:dyDescent="0.3">
      <c r="C59" s="128"/>
      <c r="D59" s="63">
        <v>2019</v>
      </c>
      <c r="E59" s="63">
        <v>11</v>
      </c>
      <c r="F59" s="63">
        <v>0.61099999999999999</v>
      </c>
      <c r="G59" s="59"/>
      <c r="H59" s="59"/>
    </row>
    <row r="60" spans="3:8" ht="15" thickBot="1" x14ac:dyDescent="0.3">
      <c r="C60" s="128"/>
      <c r="D60" s="63">
        <v>2020</v>
      </c>
      <c r="E60" s="63">
        <v>11</v>
      </c>
      <c r="F60" s="63">
        <v>0.61099999999999999</v>
      </c>
      <c r="G60" s="59"/>
      <c r="H60" s="59"/>
    </row>
    <row r="61" spans="3:8" ht="15" thickBot="1" x14ac:dyDescent="0.3">
      <c r="C61" s="128"/>
      <c r="D61" s="63">
        <v>2021</v>
      </c>
      <c r="E61" s="63">
        <v>13</v>
      </c>
      <c r="F61" s="63">
        <v>0.72199999999999998</v>
      </c>
      <c r="G61" s="59"/>
      <c r="H61" s="59"/>
    </row>
    <row r="62" spans="3:8" ht="15" thickBot="1" x14ac:dyDescent="0.3">
      <c r="C62" s="129"/>
      <c r="D62" s="63">
        <v>2022</v>
      </c>
      <c r="E62" s="63">
        <v>9</v>
      </c>
      <c r="F62" s="63">
        <v>0.5</v>
      </c>
      <c r="G62" s="59"/>
      <c r="H62" s="59"/>
    </row>
    <row r="63" spans="3:8" s="38" customFormat="1" ht="15" thickBot="1" x14ac:dyDescent="0.3">
      <c r="C63" s="64"/>
      <c r="D63" s="62" t="s">
        <v>219</v>
      </c>
      <c r="E63" s="62">
        <f>SUM(E58:E62)/5</f>
        <v>10.8</v>
      </c>
      <c r="F63" s="62">
        <f>SUM(F58:F62)/5</f>
        <v>0.6</v>
      </c>
      <c r="G63" s="61"/>
      <c r="H63" s="61"/>
    </row>
    <row r="64" spans="3:8" ht="15" thickBot="1" x14ac:dyDescent="0.3">
      <c r="C64" s="127" t="s">
        <v>162</v>
      </c>
      <c r="D64" s="63">
        <v>2018</v>
      </c>
      <c r="E64" s="63">
        <v>9</v>
      </c>
      <c r="F64" s="63">
        <v>0.5</v>
      </c>
      <c r="G64" s="59"/>
      <c r="H64" s="59"/>
    </row>
    <row r="65" spans="3:8" ht="15" thickBot="1" x14ac:dyDescent="0.3">
      <c r="C65" s="128"/>
      <c r="D65" s="63">
        <v>2019</v>
      </c>
      <c r="E65" s="63">
        <v>11</v>
      </c>
      <c r="F65" s="63">
        <v>0.61099999999999999</v>
      </c>
      <c r="G65" s="59"/>
      <c r="H65" s="59"/>
    </row>
    <row r="66" spans="3:8" ht="15" thickBot="1" x14ac:dyDescent="0.3">
      <c r="C66" s="128"/>
      <c r="D66" s="63">
        <v>2020</v>
      </c>
      <c r="E66" s="63">
        <v>13</v>
      </c>
      <c r="F66" s="63">
        <v>0.72199999999999998</v>
      </c>
      <c r="G66" s="59"/>
      <c r="H66" s="59"/>
    </row>
    <row r="67" spans="3:8" ht="15" thickBot="1" x14ac:dyDescent="0.3">
      <c r="C67" s="128"/>
      <c r="D67" s="63">
        <v>2021</v>
      </c>
      <c r="E67" s="63">
        <v>9</v>
      </c>
      <c r="F67" s="63">
        <v>0.5</v>
      </c>
      <c r="G67" s="59"/>
      <c r="H67" s="59"/>
    </row>
    <row r="68" spans="3:8" ht="15" thickBot="1" x14ac:dyDescent="0.3">
      <c r="C68" s="129"/>
      <c r="D68" s="63">
        <v>2022</v>
      </c>
      <c r="E68" s="63">
        <v>8</v>
      </c>
      <c r="F68" s="63">
        <v>0.44400000000000001</v>
      </c>
      <c r="G68" s="59"/>
      <c r="H68" s="59"/>
    </row>
    <row r="69" spans="3:8" s="38" customFormat="1" ht="15" thickBot="1" x14ac:dyDescent="0.3">
      <c r="C69" s="64"/>
      <c r="D69" s="62" t="s">
        <v>219</v>
      </c>
      <c r="E69" s="62">
        <f>SUM(E64:E68)/5</f>
        <v>10</v>
      </c>
      <c r="F69" s="62">
        <f>SUM(F64:F68)/5</f>
        <v>0.5554</v>
      </c>
      <c r="G69" s="61"/>
      <c r="H69" s="61"/>
    </row>
    <row r="70" spans="3:8" ht="15" thickBot="1" x14ac:dyDescent="0.3">
      <c r="C70" s="127" t="s">
        <v>168</v>
      </c>
      <c r="D70" s="63">
        <v>2018</v>
      </c>
      <c r="E70" s="63">
        <v>12</v>
      </c>
      <c r="F70" s="63">
        <v>0.66700000000000004</v>
      </c>
      <c r="G70" s="59"/>
      <c r="H70" s="59"/>
    </row>
    <row r="71" spans="3:8" ht="15" thickBot="1" x14ac:dyDescent="0.3">
      <c r="C71" s="128"/>
      <c r="D71" s="63">
        <v>2019</v>
      </c>
      <c r="E71" s="63">
        <v>12</v>
      </c>
      <c r="F71" s="63">
        <v>0.66700000000000004</v>
      </c>
      <c r="G71" s="59"/>
      <c r="H71" s="59"/>
    </row>
    <row r="72" spans="3:8" ht="15" thickBot="1" x14ac:dyDescent="0.3">
      <c r="C72" s="128"/>
      <c r="D72" s="63">
        <v>2020</v>
      </c>
      <c r="E72" s="63">
        <v>14</v>
      </c>
      <c r="F72" s="63">
        <v>0.77800000000000002</v>
      </c>
      <c r="G72" s="59"/>
      <c r="H72" s="59"/>
    </row>
    <row r="73" spans="3:8" ht="15" thickBot="1" x14ac:dyDescent="0.3">
      <c r="C73" s="128"/>
      <c r="D73" s="63">
        <v>2021</v>
      </c>
      <c r="E73" s="63">
        <v>11</v>
      </c>
      <c r="F73" s="63">
        <v>0.61099999999999999</v>
      </c>
      <c r="G73" s="59"/>
      <c r="H73" s="59"/>
    </row>
    <row r="74" spans="3:8" ht="15" thickBot="1" x14ac:dyDescent="0.3">
      <c r="C74" s="129"/>
      <c r="D74" s="63">
        <v>2022</v>
      </c>
      <c r="E74" s="63">
        <v>10</v>
      </c>
      <c r="F74" s="63">
        <v>0.55600000000000005</v>
      </c>
      <c r="G74" s="59"/>
      <c r="H74" s="59"/>
    </row>
    <row r="75" spans="3:8" s="38" customFormat="1" ht="15" thickBot="1" x14ac:dyDescent="0.3">
      <c r="C75" s="64"/>
      <c r="D75" s="62" t="s">
        <v>219</v>
      </c>
      <c r="E75" s="62">
        <f>SUM(E70:E74)/5</f>
        <v>11.8</v>
      </c>
      <c r="F75" s="62">
        <f>SUM(F70:F74)/5</f>
        <v>0.65579999999999994</v>
      </c>
      <c r="G75" s="61"/>
      <c r="H75" s="61"/>
    </row>
    <row r="76" spans="3:8" ht="15" thickBot="1" x14ac:dyDescent="0.3">
      <c r="C76" s="127" t="s">
        <v>173</v>
      </c>
      <c r="D76" s="63">
        <v>2018</v>
      </c>
      <c r="E76" s="63">
        <v>9</v>
      </c>
      <c r="F76" s="63">
        <v>0.5</v>
      </c>
      <c r="G76" s="59"/>
      <c r="H76" s="59"/>
    </row>
    <row r="77" spans="3:8" ht="15" thickBot="1" x14ac:dyDescent="0.3">
      <c r="C77" s="128"/>
      <c r="D77" s="63">
        <v>2019</v>
      </c>
      <c r="E77" s="63">
        <v>12</v>
      </c>
      <c r="F77" s="63">
        <v>0.66700000000000004</v>
      </c>
      <c r="G77" s="59"/>
      <c r="H77" s="59"/>
    </row>
    <row r="78" spans="3:8" ht="15" thickBot="1" x14ac:dyDescent="0.3">
      <c r="C78" s="128"/>
      <c r="D78" s="63">
        <v>2020</v>
      </c>
      <c r="E78" s="63">
        <v>10</v>
      </c>
      <c r="F78" s="63">
        <v>0.55600000000000005</v>
      </c>
      <c r="G78" s="59"/>
      <c r="H78" s="59"/>
    </row>
    <row r="79" spans="3:8" ht="15" thickBot="1" x14ac:dyDescent="0.3">
      <c r="C79" s="128"/>
      <c r="D79" s="63">
        <v>2021</v>
      </c>
      <c r="E79" s="63">
        <v>15</v>
      </c>
      <c r="F79" s="63">
        <v>0.83299999999999996</v>
      </c>
      <c r="G79" s="59"/>
      <c r="H79" s="59"/>
    </row>
    <row r="80" spans="3:8" ht="15" thickBot="1" x14ac:dyDescent="0.3">
      <c r="C80" s="129"/>
      <c r="D80" s="63">
        <v>2022</v>
      </c>
      <c r="E80" s="63">
        <v>11</v>
      </c>
      <c r="F80" s="63">
        <v>0.61099999999999999</v>
      </c>
      <c r="G80" s="59"/>
      <c r="H80" s="59"/>
    </row>
    <row r="81" spans="3:8" s="38" customFormat="1" ht="15" thickBot="1" x14ac:dyDescent="0.3">
      <c r="C81" s="64"/>
      <c r="D81" s="62" t="s">
        <v>219</v>
      </c>
      <c r="E81" s="62">
        <f>SUM(E76:E80)/5</f>
        <v>11.4</v>
      </c>
      <c r="F81" s="62">
        <f>SUM(F76:F80)/5</f>
        <v>0.63339999999999996</v>
      </c>
      <c r="G81" s="61"/>
      <c r="H81" s="61"/>
    </row>
    <row r="82" spans="3:8" ht="15" thickBot="1" x14ac:dyDescent="0.3">
      <c r="C82" s="127" t="s">
        <v>174</v>
      </c>
      <c r="D82" s="63">
        <v>2018</v>
      </c>
      <c r="E82" s="63">
        <v>10</v>
      </c>
      <c r="F82" s="63">
        <v>0.55600000000000005</v>
      </c>
      <c r="G82" s="59"/>
      <c r="H82" s="59"/>
    </row>
    <row r="83" spans="3:8" ht="15" thickBot="1" x14ac:dyDescent="0.3">
      <c r="C83" s="128"/>
      <c r="D83" s="63">
        <v>2019</v>
      </c>
      <c r="E83" s="63">
        <v>12</v>
      </c>
      <c r="F83" s="63">
        <v>0.66700000000000004</v>
      </c>
      <c r="G83" s="59"/>
      <c r="H83" s="59"/>
    </row>
    <row r="84" spans="3:8" ht="15" thickBot="1" x14ac:dyDescent="0.3">
      <c r="C84" s="128"/>
      <c r="D84" s="63">
        <v>2020</v>
      </c>
      <c r="E84" s="63">
        <v>11</v>
      </c>
      <c r="F84" s="63">
        <v>0.61099999999999999</v>
      </c>
      <c r="G84" s="59"/>
      <c r="H84" s="59"/>
    </row>
    <row r="85" spans="3:8" ht="15" thickBot="1" x14ac:dyDescent="0.3">
      <c r="C85" s="128"/>
      <c r="D85" s="63">
        <v>2021</v>
      </c>
      <c r="E85" s="63">
        <v>10</v>
      </c>
      <c r="F85" s="63">
        <v>0.55600000000000005</v>
      </c>
      <c r="G85" s="59"/>
      <c r="H85" s="59"/>
    </row>
    <row r="86" spans="3:8" ht="15" thickBot="1" x14ac:dyDescent="0.3">
      <c r="C86" s="129"/>
      <c r="D86" s="63">
        <v>2022</v>
      </c>
      <c r="E86" s="63">
        <v>14</v>
      </c>
      <c r="F86" s="63">
        <v>0.77800000000000002</v>
      </c>
      <c r="G86" s="59"/>
      <c r="H86" s="59"/>
    </row>
    <row r="87" spans="3:8" s="38" customFormat="1" ht="15" thickBot="1" x14ac:dyDescent="0.3">
      <c r="C87" s="64"/>
      <c r="D87" s="62" t="s">
        <v>219</v>
      </c>
      <c r="E87" s="62">
        <f>SUM(E82:E86)/5</f>
        <v>11.4</v>
      </c>
      <c r="F87" s="62">
        <f>SUM(F82:F86)/5</f>
        <v>0.63360000000000005</v>
      </c>
      <c r="G87" s="61"/>
      <c r="H87" s="61"/>
    </row>
    <row r="88" spans="3:8" ht="15" thickBot="1" x14ac:dyDescent="0.3">
      <c r="C88" s="127" t="s">
        <v>175</v>
      </c>
      <c r="D88" s="63">
        <v>2018</v>
      </c>
      <c r="E88" s="63">
        <v>11</v>
      </c>
      <c r="F88" s="63">
        <v>0.61099999999999999</v>
      </c>
      <c r="G88" s="59"/>
      <c r="H88" s="59"/>
    </row>
    <row r="89" spans="3:8" ht="15" thickBot="1" x14ac:dyDescent="0.3">
      <c r="C89" s="128"/>
      <c r="D89" s="63">
        <v>2019</v>
      </c>
      <c r="E89" s="63">
        <v>9</v>
      </c>
      <c r="F89" s="63">
        <v>0.5</v>
      </c>
      <c r="G89" s="59"/>
      <c r="H89" s="59"/>
    </row>
    <row r="90" spans="3:8" ht="15" thickBot="1" x14ac:dyDescent="0.3">
      <c r="C90" s="128"/>
      <c r="D90" s="63">
        <v>2020</v>
      </c>
      <c r="E90" s="63">
        <v>11</v>
      </c>
      <c r="F90" s="63">
        <v>0.61099999999999999</v>
      </c>
      <c r="G90" s="59"/>
      <c r="H90" s="59"/>
    </row>
    <row r="91" spans="3:8" ht="15" thickBot="1" x14ac:dyDescent="0.3">
      <c r="C91" s="128"/>
      <c r="D91" s="63">
        <v>2021</v>
      </c>
      <c r="E91" s="63">
        <v>9</v>
      </c>
      <c r="F91" s="63">
        <v>0.5</v>
      </c>
      <c r="G91" s="59"/>
      <c r="H91" s="59"/>
    </row>
    <row r="92" spans="3:8" ht="15" thickBot="1" x14ac:dyDescent="0.3">
      <c r="C92" s="129"/>
      <c r="D92" s="63">
        <v>2022</v>
      </c>
      <c r="E92" s="63">
        <v>8</v>
      </c>
      <c r="F92" s="63">
        <v>0.44400000000000001</v>
      </c>
      <c r="G92" s="59"/>
      <c r="H92" s="59"/>
    </row>
    <row r="93" spans="3:8" s="38" customFormat="1" ht="15" thickBot="1" x14ac:dyDescent="0.3">
      <c r="C93" s="64"/>
      <c r="D93" s="62" t="s">
        <v>219</v>
      </c>
      <c r="E93" s="62">
        <f>SUM(E88:E92)/5</f>
        <v>9.6</v>
      </c>
      <c r="F93" s="62">
        <f>SUM(F88:F92)/5</f>
        <v>0.53320000000000001</v>
      </c>
      <c r="G93" s="61"/>
      <c r="H93" s="61"/>
    </row>
    <row r="94" spans="3:8" ht="15" thickBot="1" x14ac:dyDescent="0.3">
      <c r="C94" s="127" t="s">
        <v>176</v>
      </c>
      <c r="D94" s="63">
        <v>2018</v>
      </c>
      <c r="E94" s="63">
        <v>15</v>
      </c>
      <c r="F94" s="63">
        <v>0.83299999999999996</v>
      </c>
      <c r="G94" s="59"/>
      <c r="H94" s="59"/>
    </row>
    <row r="95" spans="3:8" ht="15" thickBot="1" x14ac:dyDescent="0.3">
      <c r="C95" s="128"/>
      <c r="D95" s="63">
        <v>2019</v>
      </c>
      <c r="E95" s="63">
        <v>10</v>
      </c>
      <c r="F95" s="63">
        <v>0.55600000000000005</v>
      </c>
      <c r="G95" s="59"/>
      <c r="H95" s="59"/>
    </row>
    <row r="96" spans="3:8" ht="15" thickBot="1" x14ac:dyDescent="0.3">
      <c r="C96" s="128"/>
      <c r="D96" s="63">
        <v>2020</v>
      </c>
      <c r="E96" s="63">
        <v>10</v>
      </c>
      <c r="F96" s="63">
        <v>0.55600000000000005</v>
      </c>
      <c r="G96" s="59"/>
      <c r="H96" s="59"/>
    </row>
    <row r="97" spans="3:8" ht="15" thickBot="1" x14ac:dyDescent="0.3">
      <c r="C97" s="128"/>
      <c r="D97" s="63">
        <v>2021</v>
      </c>
      <c r="E97" s="63">
        <v>12</v>
      </c>
      <c r="F97" s="63">
        <v>0.66700000000000004</v>
      </c>
      <c r="G97" s="59"/>
      <c r="H97" s="59"/>
    </row>
    <row r="98" spans="3:8" ht="15" thickBot="1" x14ac:dyDescent="0.3">
      <c r="C98" s="129"/>
      <c r="D98" s="63">
        <v>2022</v>
      </c>
      <c r="E98" s="63">
        <v>11</v>
      </c>
      <c r="F98" s="63">
        <v>0.61099999999999999</v>
      </c>
      <c r="G98" s="59"/>
      <c r="H98" s="59"/>
    </row>
    <row r="99" spans="3:8" s="38" customFormat="1" ht="15" thickBot="1" x14ac:dyDescent="0.3">
      <c r="C99" s="64"/>
      <c r="D99" s="62" t="s">
        <v>219</v>
      </c>
      <c r="E99" s="62">
        <f>SUM(E94:E98)/5</f>
        <v>11.6</v>
      </c>
      <c r="F99" s="62">
        <f>SUM(F94:F98)/5</f>
        <v>0.64459999999999995</v>
      </c>
      <c r="G99" s="61"/>
      <c r="H99" s="61"/>
    </row>
    <row r="100" spans="3:8" ht="15" thickBot="1" x14ac:dyDescent="0.3">
      <c r="C100" s="127" t="s">
        <v>177</v>
      </c>
      <c r="D100" s="63">
        <v>2018</v>
      </c>
      <c r="E100" s="63">
        <v>10</v>
      </c>
      <c r="F100" s="63">
        <v>0.55600000000000005</v>
      </c>
      <c r="G100" s="59"/>
      <c r="H100" s="59"/>
    </row>
    <row r="101" spans="3:8" ht="15" thickBot="1" x14ac:dyDescent="0.3">
      <c r="C101" s="128"/>
      <c r="D101" s="63">
        <v>2019</v>
      </c>
      <c r="E101" s="63">
        <v>12</v>
      </c>
      <c r="F101" s="63">
        <v>0.66700000000000004</v>
      </c>
      <c r="G101" s="59"/>
      <c r="H101" s="59"/>
    </row>
    <row r="102" spans="3:8" ht="15" thickBot="1" x14ac:dyDescent="0.3">
      <c r="C102" s="128"/>
      <c r="D102" s="63">
        <v>2020</v>
      </c>
      <c r="E102" s="63">
        <v>9</v>
      </c>
      <c r="F102" s="63">
        <v>0.5</v>
      </c>
      <c r="G102" s="59"/>
      <c r="H102" s="59"/>
    </row>
    <row r="103" spans="3:8" ht="15" thickBot="1" x14ac:dyDescent="0.3">
      <c r="C103" s="128"/>
      <c r="D103" s="63">
        <v>2021</v>
      </c>
      <c r="E103" s="63">
        <v>12</v>
      </c>
      <c r="F103" s="63">
        <v>0.66700000000000004</v>
      </c>
      <c r="G103" s="59"/>
      <c r="H103" s="59"/>
    </row>
    <row r="104" spans="3:8" ht="15" thickBot="1" x14ac:dyDescent="0.3">
      <c r="C104" s="129"/>
      <c r="D104" s="63">
        <v>2022</v>
      </c>
      <c r="E104" s="63">
        <v>11</v>
      </c>
      <c r="F104" s="63">
        <v>0.61099999999999999</v>
      </c>
      <c r="G104" s="59"/>
      <c r="H104" s="59"/>
    </row>
    <row r="105" spans="3:8" s="38" customFormat="1" ht="15" thickBot="1" x14ac:dyDescent="0.3">
      <c r="C105" s="64"/>
      <c r="D105" s="62" t="s">
        <v>219</v>
      </c>
      <c r="E105" s="62">
        <f>SUM(E100:E104)/5</f>
        <v>10.8</v>
      </c>
      <c r="F105" s="62">
        <f>SUM(F100:F104)/5</f>
        <v>0.60020000000000007</v>
      </c>
      <c r="G105" s="61"/>
      <c r="H105" s="61"/>
    </row>
    <row r="106" spans="3:8" ht="15" thickBot="1" x14ac:dyDescent="0.3">
      <c r="C106" s="127" t="s">
        <v>178</v>
      </c>
      <c r="D106" s="63">
        <v>2018</v>
      </c>
      <c r="E106" s="63">
        <v>10</v>
      </c>
      <c r="F106" s="63">
        <v>0.55600000000000005</v>
      </c>
      <c r="G106" s="59"/>
      <c r="H106" s="59"/>
    </row>
    <row r="107" spans="3:8" ht="15" thickBot="1" x14ac:dyDescent="0.3">
      <c r="C107" s="128"/>
      <c r="D107" s="63">
        <v>2019</v>
      </c>
      <c r="E107" s="63">
        <v>12</v>
      </c>
      <c r="F107" s="63">
        <v>0.66700000000000004</v>
      </c>
      <c r="G107" s="59"/>
      <c r="H107" s="59"/>
    </row>
    <row r="108" spans="3:8" ht="15" thickBot="1" x14ac:dyDescent="0.3">
      <c r="C108" s="128"/>
      <c r="D108" s="63">
        <v>2020</v>
      </c>
      <c r="E108" s="63">
        <v>9</v>
      </c>
      <c r="F108" s="63">
        <v>0.5</v>
      </c>
      <c r="G108" s="59"/>
      <c r="H108" s="59"/>
    </row>
    <row r="109" spans="3:8" ht="15" thickBot="1" x14ac:dyDescent="0.3">
      <c r="C109" s="128"/>
      <c r="D109" s="63">
        <v>2021</v>
      </c>
      <c r="E109" s="63">
        <v>9</v>
      </c>
      <c r="F109" s="63">
        <v>0.5</v>
      </c>
      <c r="G109" s="59"/>
      <c r="H109" s="59"/>
    </row>
    <row r="110" spans="3:8" ht="15" thickBot="1" x14ac:dyDescent="0.3">
      <c r="C110" s="129"/>
      <c r="D110" s="63">
        <v>2022</v>
      </c>
      <c r="E110" s="63">
        <v>10</v>
      </c>
      <c r="F110" s="63">
        <v>0.55600000000000005</v>
      </c>
      <c r="G110" s="59"/>
      <c r="H110" s="59"/>
    </row>
    <row r="111" spans="3:8" s="38" customFormat="1" ht="15" thickBot="1" x14ac:dyDescent="0.3">
      <c r="C111" s="64"/>
      <c r="D111" s="62" t="s">
        <v>219</v>
      </c>
      <c r="E111" s="62">
        <f>SUM(E106:E110)/5</f>
        <v>10</v>
      </c>
      <c r="F111" s="62">
        <f>SUM(F106:F110)/5</f>
        <v>0.55579999999999996</v>
      </c>
      <c r="G111" s="61"/>
      <c r="H111" s="61"/>
    </row>
    <row r="112" spans="3:8" ht="15" thickBot="1" x14ac:dyDescent="0.3">
      <c r="C112" s="127" t="s">
        <v>179</v>
      </c>
      <c r="D112" s="63">
        <v>2018</v>
      </c>
      <c r="E112" s="63">
        <v>6</v>
      </c>
      <c r="F112" s="63">
        <v>0.33300000000000002</v>
      </c>
      <c r="G112" s="59"/>
      <c r="H112" s="59"/>
    </row>
    <row r="113" spans="3:8" ht="15" thickBot="1" x14ac:dyDescent="0.3">
      <c r="C113" s="128"/>
      <c r="D113" s="63">
        <v>2019</v>
      </c>
      <c r="E113" s="63">
        <v>13</v>
      </c>
      <c r="F113" s="63">
        <v>0.72199999999999998</v>
      </c>
      <c r="G113" s="59"/>
      <c r="H113" s="59"/>
    </row>
    <row r="114" spans="3:8" ht="15" thickBot="1" x14ac:dyDescent="0.3">
      <c r="C114" s="128"/>
      <c r="D114" s="63">
        <v>2020</v>
      </c>
      <c r="E114" s="63">
        <v>16</v>
      </c>
      <c r="F114" s="63">
        <v>0.88900000000000001</v>
      </c>
      <c r="G114" s="59"/>
      <c r="H114" s="59"/>
    </row>
    <row r="115" spans="3:8" ht="15" thickBot="1" x14ac:dyDescent="0.3">
      <c r="C115" s="128"/>
      <c r="D115" s="63">
        <v>2021</v>
      </c>
      <c r="E115" s="63">
        <v>12</v>
      </c>
      <c r="F115" s="63">
        <v>0.66700000000000004</v>
      </c>
      <c r="G115" s="59"/>
      <c r="H115" s="59"/>
    </row>
    <row r="116" spans="3:8" ht="15" thickBot="1" x14ac:dyDescent="0.3">
      <c r="C116" s="129"/>
      <c r="D116" s="63">
        <v>2022</v>
      </c>
      <c r="E116" s="63">
        <v>14</v>
      </c>
      <c r="F116" s="63">
        <v>0.77800000000000002</v>
      </c>
      <c r="G116" s="59"/>
      <c r="H116" s="59"/>
    </row>
    <row r="117" spans="3:8" s="38" customFormat="1" ht="15" thickBot="1" x14ac:dyDescent="0.3">
      <c r="C117" s="64"/>
      <c r="D117" s="62" t="s">
        <v>219</v>
      </c>
      <c r="E117" s="62">
        <f>SUM(E112:E116)/5</f>
        <v>12.2</v>
      </c>
      <c r="F117" s="62">
        <f>SUM(F112:F116)/5</f>
        <v>0.67779999999999996</v>
      </c>
      <c r="G117" s="61"/>
      <c r="H117" s="61"/>
    </row>
    <row r="118" spans="3:8" ht="15" thickBot="1" x14ac:dyDescent="0.3">
      <c r="C118" s="127" t="s">
        <v>180</v>
      </c>
      <c r="D118" s="63">
        <v>2018</v>
      </c>
      <c r="E118" s="63">
        <v>12</v>
      </c>
      <c r="F118" s="63">
        <v>0.66700000000000004</v>
      </c>
      <c r="G118" s="59"/>
      <c r="H118" s="59"/>
    </row>
    <row r="119" spans="3:8" ht="15" thickBot="1" x14ac:dyDescent="0.3">
      <c r="C119" s="128"/>
      <c r="D119" s="63">
        <v>2019</v>
      </c>
      <c r="E119" s="63">
        <v>9</v>
      </c>
      <c r="F119" s="63">
        <v>0.5</v>
      </c>
      <c r="G119" s="59"/>
      <c r="H119" s="59"/>
    </row>
    <row r="120" spans="3:8" ht="15" thickBot="1" x14ac:dyDescent="0.3">
      <c r="C120" s="128"/>
      <c r="D120" s="63">
        <v>2020</v>
      </c>
      <c r="E120" s="63">
        <v>12</v>
      </c>
      <c r="F120" s="63">
        <v>0.66700000000000004</v>
      </c>
      <c r="G120" s="59"/>
      <c r="H120" s="59"/>
    </row>
    <row r="121" spans="3:8" ht="15" thickBot="1" x14ac:dyDescent="0.3">
      <c r="C121" s="128"/>
      <c r="D121" s="63">
        <v>2021</v>
      </c>
      <c r="E121" s="63">
        <v>12</v>
      </c>
      <c r="F121" s="63">
        <v>0.66700000000000004</v>
      </c>
      <c r="G121" s="59"/>
      <c r="H121" s="59"/>
    </row>
    <row r="122" spans="3:8" ht="15" thickBot="1" x14ac:dyDescent="0.3">
      <c r="C122" s="129"/>
      <c r="D122" s="63">
        <v>2022</v>
      </c>
      <c r="E122" s="63">
        <v>9</v>
      </c>
      <c r="F122" s="63">
        <v>0.5</v>
      </c>
      <c r="G122" s="59"/>
      <c r="H122" s="59"/>
    </row>
    <row r="123" spans="3:8" s="38" customFormat="1" ht="15" thickBot="1" x14ac:dyDescent="0.3">
      <c r="C123" s="64"/>
      <c r="D123" s="62" t="s">
        <v>219</v>
      </c>
      <c r="E123" s="62">
        <f>SUM(E118:E122)/5</f>
        <v>10.8</v>
      </c>
      <c r="F123" s="62">
        <f>SUM(F118:F122)/5</f>
        <v>0.60020000000000007</v>
      </c>
      <c r="G123" s="61"/>
      <c r="H123" s="61"/>
    </row>
    <row r="124" spans="3:8" ht="15" thickBot="1" x14ac:dyDescent="0.3">
      <c r="C124" s="127" t="s">
        <v>181</v>
      </c>
      <c r="D124" s="63">
        <v>2018</v>
      </c>
      <c r="E124" s="63">
        <v>11</v>
      </c>
      <c r="F124" s="63">
        <v>0.61099999999999999</v>
      </c>
      <c r="G124" s="59"/>
      <c r="H124" s="59"/>
    </row>
    <row r="125" spans="3:8" ht="15" thickBot="1" x14ac:dyDescent="0.3">
      <c r="C125" s="128"/>
      <c r="D125" s="63">
        <v>2019</v>
      </c>
      <c r="E125" s="63">
        <v>12</v>
      </c>
      <c r="F125" s="63">
        <v>0.66700000000000004</v>
      </c>
      <c r="G125" s="59"/>
      <c r="H125" s="59"/>
    </row>
    <row r="126" spans="3:8" ht="15" thickBot="1" x14ac:dyDescent="0.3">
      <c r="C126" s="128"/>
      <c r="D126" s="63">
        <v>2020</v>
      </c>
      <c r="E126" s="63">
        <v>11</v>
      </c>
      <c r="F126" s="63">
        <v>0.61099999999999999</v>
      </c>
      <c r="G126" s="59"/>
      <c r="H126" s="59"/>
    </row>
    <row r="127" spans="3:8" ht="15" thickBot="1" x14ac:dyDescent="0.3">
      <c r="C127" s="128"/>
      <c r="D127" s="63">
        <v>2021</v>
      </c>
      <c r="E127" s="63">
        <v>12</v>
      </c>
      <c r="F127" s="63">
        <v>0.66700000000000004</v>
      </c>
      <c r="G127" s="59"/>
      <c r="H127" s="59"/>
    </row>
    <row r="128" spans="3:8" ht="15" thickBot="1" x14ac:dyDescent="0.3">
      <c r="C128" s="129"/>
      <c r="D128" s="63">
        <v>2022</v>
      </c>
      <c r="E128" s="63">
        <v>13</v>
      </c>
      <c r="F128" s="63">
        <v>0.72199999999999998</v>
      </c>
      <c r="G128" s="59"/>
      <c r="H128" s="59"/>
    </row>
    <row r="129" spans="3:8" s="38" customFormat="1" ht="15" thickBot="1" x14ac:dyDescent="0.3">
      <c r="C129" s="64"/>
      <c r="D129" s="62" t="s">
        <v>219</v>
      </c>
      <c r="E129" s="62">
        <f>SUM(E124:E128)/5</f>
        <v>11.8</v>
      </c>
      <c r="F129" s="62">
        <f>SUM(F124:F128)/5</f>
        <v>0.65559999999999996</v>
      </c>
      <c r="G129" s="61"/>
      <c r="H129" s="61"/>
    </row>
    <row r="130" spans="3:8" ht="15" thickBot="1" x14ac:dyDescent="0.3">
      <c r="C130" s="127" t="s">
        <v>182</v>
      </c>
      <c r="D130" s="63">
        <v>2018</v>
      </c>
      <c r="E130" s="63">
        <v>13</v>
      </c>
      <c r="F130" s="63">
        <v>0.72199999999999998</v>
      </c>
      <c r="G130" s="59"/>
      <c r="H130" s="59"/>
    </row>
    <row r="131" spans="3:8" ht="15" thickBot="1" x14ac:dyDescent="0.3">
      <c r="C131" s="128"/>
      <c r="D131" s="63">
        <v>2019</v>
      </c>
      <c r="E131" s="63">
        <v>12</v>
      </c>
      <c r="F131" s="63">
        <v>0.66700000000000004</v>
      </c>
      <c r="G131" s="59"/>
      <c r="H131" s="59"/>
    </row>
    <row r="132" spans="3:8" ht="15" thickBot="1" x14ac:dyDescent="0.3">
      <c r="C132" s="128"/>
      <c r="D132" s="63">
        <v>2020</v>
      </c>
      <c r="E132" s="63">
        <v>6</v>
      </c>
      <c r="F132" s="63">
        <v>0.33300000000000002</v>
      </c>
      <c r="G132" s="59"/>
      <c r="H132" s="59"/>
    </row>
    <row r="133" spans="3:8" ht="15" thickBot="1" x14ac:dyDescent="0.3">
      <c r="C133" s="128"/>
      <c r="D133" s="63">
        <v>2021</v>
      </c>
      <c r="E133" s="63">
        <v>15</v>
      </c>
      <c r="F133" s="63">
        <v>0.83299999999999996</v>
      </c>
      <c r="G133" s="59"/>
      <c r="H133" s="59"/>
    </row>
    <row r="134" spans="3:8" ht="15" thickBot="1" x14ac:dyDescent="0.3">
      <c r="C134" s="129"/>
      <c r="D134" s="63">
        <v>2022</v>
      </c>
      <c r="E134" s="63">
        <v>13</v>
      </c>
      <c r="F134" s="63">
        <v>0.72199999999999998</v>
      </c>
      <c r="G134" s="59"/>
      <c r="H134" s="59"/>
    </row>
    <row r="135" spans="3:8" s="38" customFormat="1" ht="15" thickBot="1" x14ac:dyDescent="0.3">
      <c r="C135" s="64"/>
      <c r="D135" s="62" t="s">
        <v>219</v>
      </c>
      <c r="E135" s="62">
        <f>SUM(E130:E134)/5</f>
        <v>11.8</v>
      </c>
      <c r="F135" s="62">
        <f>SUM(F130:F134)/5</f>
        <v>0.65539999999999998</v>
      </c>
      <c r="G135" s="61"/>
      <c r="H135" s="61"/>
    </row>
    <row r="136" spans="3:8" ht="15" thickBot="1" x14ac:dyDescent="0.3">
      <c r="C136" s="127" t="s">
        <v>183</v>
      </c>
      <c r="D136" s="63">
        <v>2018</v>
      </c>
      <c r="E136" s="63">
        <v>10</v>
      </c>
      <c r="F136" s="63">
        <v>0.55600000000000005</v>
      </c>
      <c r="G136" s="59"/>
      <c r="H136" s="59"/>
    </row>
    <row r="137" spans="3:8" ht="15" thickBot="1" x14ac:dyDescent="0.3">
      <c r="C137" s="128"/>
      <c r="D137" s="63">
        <v>2019</v>
      </c>
      <c r="E137" s="63">
        <v>12</v>
      </c>
      <c r="F137" s="63">
        <v>0.66700000000000004</v>
      </c>
      <c r="G137" s="59"/>
      <c r="H137" s="59"/>
    </row>
    <row r="138" spans="3:8" ht="15" thickBot="1" x14ac:dyDescent="0.3">
      <c r="C138" s="128"/>
      <c r="D138" s="63">
        <v>2020</v>
      </c>
      <c r="E138" s="63">
        <v>12</v>
      </c>
      <c r="F138" s="63">
        <v>0.66700000000000004</v>
      </c>
      <c r="G138" s="59"/>
      <c r="H138" s="59"/>
    </row>
    <row r="139" spans="3:8" ht="15" thickBot="1" x14ac:dyDescent="0.3">
      <c r="C139" s="128"/>
      <c r="D139" s="63">
        <v>2021</v>
      </c>
      <c r="E139" s="63">
        <v>11</v>
      </c>
      <c r="F139" s="63">
        <v>0.61099999999999999</v>
      </c>
      <c r="G139" s="59"/>
      <c r="H139" s="59"/>
    </row>
    <row r="140" spans="3:8" ht="15" thickBot="1" x14ac:dyDescent="0.3">
      <c r="C140" s="129"/>
      <c r="D140" s="63">
        <v>2022</v>
      </c>
      <c r="E140" s="63">
        <v>13</v>
      </c>
      <c r="F140" s="63">
        <v>0.72199999999999998</v>
      </c>
      <c r="G140" s="59"/>
      <c r="H140" s="59"/>
    </row>
    <row r="141" spans="3:8" s="38" customFormat="1" ht="15" thickBot="1" x14ac:dyDescent="0.3">
      <c r="C141" s="64"/>
      <c r="D141" s="62" t="s">
        <v>219</v>
      </c>
      <c r="E141" s="62">
        <f>SUM(E136:E140)/5</f>
        <v>11.6</v>
      </c>
      <c r="F141" s="62">
        <f>SUM(F136:F140)/5</f>
        <v>0.64460000000000006</v>
      </c>
      <c r="G141" s="61"/>
      <c r="H141" s="61"/>
    </row>
    <row r="142" spans="3:8" ht="15" thickBot="1" x14ac:dyDescent="0.3">
      <c r="C142" s="127" t="s">
        <v>184</v>
      </c>
      <c r="D142" s="63">
        <v>2018</v>
      </c>
      <c r="E142" s="63">
        <v>9</v>
      </c>
      <c r="F142" s="63">
        <v>0.5</v>
      </c>
      <c r="G142" s="59"/>
      <c r="H142" s="59"/>
    </row>
    <row r="143" spans="3:8" ht="15" thickBot="1" x14ac:dyDescent="0.3">
      <c r="C143" s="128"/>
      <c r="D143" s="63">
        <v>2019</v>
      </c>
      <c r="E143" s="63">
        <v>10</v>
      </c>
      <c r="F143" s="63">
        <v>0.55600000000000005</v>
      </c>
      <c r="G143" s="59"/>
      <c r="H143" s="59"/>
    </row>
    <row r="144" spans="3:8" ht="15" thickBot="1" x14ac:dyDescent="0.3">
      <c r="C144" s="128"/>
      <c r="D144" s="63">
        <v>2020</v>
      </c>
      <c r="E144" s="63">
        <v>13</v>
      </c>
      <c r="F144" s="63">
        <v>0.72199999999999998</v>
      </c>
      <c r="G144" s="59"/>
      <c r="H144" s="59"/>
    </row>
    <row r="145" spans="3:8" ht="15" thickBot="1" x14ac:dyDescent="0.3">
      <c r="C145" s="128"/>
      <c r="D145" s="63">
        <v>2021</v>
      </c>
      <c r="E145" s="63">
        <v>12</v>
      </c>
      <c r="F145" s="63">
        <v>0.66700000000000004</v>
      </c>
      <c r="G145" s="59"/>
      <c r="H145" s="59"/>
    </row>
    <row r="146" spans="3:8" ht="15" thickBot="1" x14ac:dyDescent="0.3">
      <c r="C146" s="129"/>
      <c r="D146" s="63">
        <v>2022</v>
      </c>
      <c r="E146" s="63">
        <v>9</v>
      </c>
      <c r="F146" s="63">
        <v>0.5</v>
      </c>
      <c r="G146" s="59"/>
      <c r="H146" s="59"/>
    </row>
    <row r="147" spans="3:8" s="38" customFormat="1" ht="15" thickBot="1" x14ac:dyDescent="0.3">
      <c r="C147" s="64"/>
      <c r="D147" s="62" t="s">
        <v>219</v>
      </c>
      <c r="E147" s="62">
        <f>SUM(E142:E146)/5</f>
        <v>10.6</v>
      </c>
      <c r="F147" s="62">
        <f>SUM(F142:F146)/5</f>
        <v>0.58900000000000008</v>
      </c>
      <c r="G147" s="61"/>
      <c r="H147" s="61"/>
    </row>
    <row r="148" spans="3:8" ht="15" thickBot="1" x14ac:dyDescent="0.3">
      <c r="C148" s="127" t="s">
        <v>185</v>
      </c>
      <c r="D148" s="63">
        <v>2018</v>
      </c>
      <c r="E148" s="63">
        <v>9</v>
      </c>
      <c r="F148" s="63">
        <v>0.5</v>
      </c>
      <c r="G148" s="59"/>
      <c r="H148" s="59"/>
    </row>
    <row r="149" spans="3:8" ht="15" thickBot="1" x14ac:dyDescent="0.3">
      <c r="C149" s="128"/>
      <c r="D149" s="63">
        <v>2019</v>
      </c>
      <c r="E149" s="63">
        <v>9</v>
      </c>
      <c r="F149" s="63">
        <v>0.5</v>
      </c>
      <c r="G149" s="59"/>
      <c r="H149" s="59"/>
    </row>
    <row r="150" spans="3:8" ht="15" thickBot="1" x14ac:dyDescent="0.3">
      <c r="C150" s="128"/>
      <c r="D150" s="63">
        <v>2020</v>
      </c>
      <c r="E150" s="63">
        <v>13</v>
      </c>
      <c r="F150" s="63">
        <v>0.72199999999999998</v>
      </c>
      <c r="G150" s="59"/>
      <c r="H150" s="59"/>
    </row>
    <row r="151" spans="3:8" ht="15" thickBot="1" x14ac:dyDescent="0.3">
      <c r="C151" s="128"/>
      <c r="D151" s="63">
        <v>2021</v>
      </c>
      <c r="E151" s="63">
        <v>13</v>
      </c>
      <c r="F151" s="63">
        <v>0.72199999999999998</v>
      </c>
      <c r="G151" s="59"/>
      <c r="H151" s="59"/>
    </row>
    <row r="152" spans="3:8" ht="15" thickBot="1" x14ac:dyDescent="0.3">
      <c r="C152" s="129"/>
      <c r="D152" s="63">
        <v>2022</v>
      </c>
      <c r="E152" s="63">
        <v>15</v>
      </c>
      <c r="F152" s="63">
        <v>0.83299999999999996</v>
      </c>
      <c r="G152" s="59"/>
      <c r="H152" s="59"/>
    </row>
    <row r="153" spans="3:8" s="38" customFormat="1" ht="15" thickBot="1" x14ac:dyDescent="0.3">
      <c r="C153" s="64"/>
      <c r="D153" s="62" t="s">
        <v>219</v>
      </c>
      <c r="E153" s="62">
        <f>SUM(E148:E152)/5</f>
        <v>11.8</v>
      </c>
      <c r="F153" s="62">
        <f>SUM(F148:F152)/5</f>
        <v>0.65539999999999998</v>
      </c>
      <c r="G153" s="61"/>
      <c r="H153" s="61"/>
    </row>
    <row r="154" spans="3:8" ht="15" thickBot="1" x14ac:dyDescent="0.3">
      <c r="C154" s="127" t="s">
        <v>186</v>
      </c>
      <c r="D154" s="63">
        <v>2018</v>
      </c>
      <c r="E154" s="63">
        <v>6</v>
      </c>
      <c r="F154" s="63">
        <v>0.33300000000000002</v>
      </c>
      <c r="G154" s="59"/>
      <c r="H154" s="59"/>
    </row>
    <row r="155" spans="3:8" ht="15" thickBot="1" x14ac:dyDescent="0.3">
      <c r="C155" s="128"/>
      <c r="D155" s="63">
        <v>2019</v>
      </c>
      <c r="E155" s="63">
        <v>10</v>
      </c>
      <c r="F155" s="63">
        <v>0.55600000000000005</v>
      </c>
      <c r="G155" s="59"/>
      <c r="H155" s="59"/>
    </row>
    <row r="156" spans="3:8" ht="15" thickBot="1" x14ac:dyDescent="0.3">
      <c r="C156" s="128"/>
      <c r="D156" s="63">
        <v>2020</v>
      </c>
      <c r="E156" s="63">
        <v>14</v>
      </c>
      <c r="F156" s="63">
        <v>0.77800000000000002</v>
      </c>
      <c r="G156" s="59"/>
      <c r="H156" s="59"/>
    </row>
    <row r="157" spans="3:8" ht="15" thickBot="1" x14ac:dyDescent="0.3">
      <c r="C157" s="128"/>
      <c r="D157" s="63">
        <v>2021</v>
      </c>
      <c r="E157" s="63">
        <v>16</v>
      </c>
      <c r="F157" s="63">
        <v>0.88900000000000001</v>
      </c>
      <c r="G157" s="59"/>
      <c r="H157" s="59"/>
    </row>
    <row r="158" spans="3:8" ht="15" thickBot="1" x14ac:dyDescent="0.3">
      <c r="C158" s="129"/>
      <c r="D158" s="63">
        <v>2022</v>
      </c>
      <c r="E158" s="63">
        <v>18</v>
      </c>
      <c r="F158" s="63">
        <v>1</v>
      </c>
      <c r="G158" s="59"/>
      <c r="H158" s="59"/>
    </row>
    <row r="159" spans="3:8" s="38" customFormat="1" ht="15" thickBot="1" x14ac:dyDescent="0.3">
      <c r="C159" s="65"/>
      <c r="D159" s="62" t="s">
        <v>219</v>
      </c>
      <c r="E159" s="62">
        <f>SUM(E154:E158)/5</f>
        <v>12.8</v>
      </c>
      <c r="F159" s="62">
        <f>SUM(F154:F158)/5</f>
        <v>0.71120000000000005</v>
      </c>
      <c r="G159" s="61"/>
      <c r="H159" s="61"/>
    </row>
  </sheetData>
  <mergeCells count="30">
    <mergeCell ref="C10:C14"/>
    <mergeCell ref="C2:C3"/>
    <mergeCell ref="D2:D3"/>
    <mergeCell ref="E2:E3"/>
    <mergeCell ref="F2:F3"/>
    <mergeCell ref="C4:C8"/>
    <mergeCell ref="C82:C86"/>
    <mergeCell ref="C16:C20"/>
    <mergeCell ref="C22:C26"/>
    <mergeCell ref="C28:C32"/>
    <mergeCell ref="C34:C38"/>
    <mergeCell ref="C40:C44"/>
    <mergeCell ref="C46:C50"/>
    <mergeCell ref="C52:C56"/>
    <mergeCell ref="C58:C62"/>
    <mergeCell ref="C64:C68"/>
    <mergeCell ref="C70:C74"/>
    <mergeCell ref="C76:C80"/>
    <mergeCell ref="C154:C158"/>
    <mergeCell ref="C88:C92"/>
    <mergeCell ref="C94:C98"/>
    <mergeCell ref="C100:C104"/>
    <mergeCell ref="C106:C110"/>
    <mergeCell ref="C112:C116"/>
    <mergeCell ref="C118:C122"/>
    <mergeCell ref="C124:C128"/>
    <mergeCell ref="C130:C134"/>
    <mergeCell ref="C136:C140"/>
    <mergeCell ref="C142:C146"/>
    <mergeCell ref="C148:C15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40BC8-96F9-4384-9320-16AC5A21F78D}">
  <dimension ref="A4:P1213"/>
  <sheetViews>
    <sheetView tabSelected="1" topLeftCell="I45" zoomScale="97" workbookViewId="0">
      <selection activeCell="P57" sqref="P57"/>
    </sheetView>
  </sheetViews>
  <sheetFormatPr defaultRowHeight="13.2" x14ac:dyDescent="0.25"/>
  <cols>
    <col min="6" max="6" width="9.5546875" bestFit="1" customWidth="1"/>
    <col min="8" max="8" width="12.33203125" style="75" bestFit="1" customWidth="1"/>
  </cols>
  <sheetData>
    <row r="4" spans="1:16" ht="13.8" thickBot="1" x14ac:dyDescent="0.3">
      <c r="A4" t="s">
        <v>211</v>
      </c>
      <c r="B4" t="s">
        <v>212</v>
      </c>
      <c r="C4" t="s">
        <v>213</v>
      </c>
      <c r="D4" t="s">
        <v>214</v>
      </c>
      <c r="E4" t="s">
        <v>215</v>
      </c>
      <c r="F4" t="s">
        <v>209</v>
      </c>
      <c r="G4" t="s">
        <v>216</v>
      </c>
      <c r="H4" s="75" t="s">
        <v>217</v>
      </c>
      <c r="I4" t="s">
        <v>218</v>
      </c>
    </row>
    <row r="5" spans="1:16" ht="14.4" thickBot="1" x14ac:dyDescent="0.3">
      <c r="A5">
        <v>0.53059999999999996</v>
      </c>
      <c r="B5">
        <v>30.148599999999998</v>
      </c>
      <c r="C5">
        <v>7.3573735384837427E-2</v>
      </c>
      <c r="D5">
        <v>0.70909999999999995</v>
      </c>
      <c r="E5">
        <v>0.60970293722415303</v>
      </c>
      <c r="F5" s="74">
        <v>1</v>
      </c>
      <c r="G5" s="74">
        <v>1</v>
      </c>
      <c r="H5" s="75">
        <v>3.2014027636303549E-4</v>
      </c>
      <c r="I5">
        <v>0.55559999999999998</v>
      </c>
      <c r="L5">
        <f>_xlfn.STDEV.S(A5:A134,REKAP!H5:H134,REKAP!F5:F134)</f>
        <v>0.36983138943422367</v>
      </c>
      <c r="N5" s="86" t="s">
        <v>284</v>
      </c>
    </row>
    <row r="6" spans="1:16" ht="14.4" thickBot="1" x14ac:dyDescent="0.3">
      <c r="A6">
        <v>0.59860000000000002</v>
      </c>
      <c r="B6">
        <v>30.110399999999998</v>
      </c>
      <c r="C6">
        <v>4.4713689243833128E-3</v>
      </c>
      <c r="D6">
        <v>0.71299999999999997</v>
      </c>
      <c r="E6">
        <v>0.27753514966456827</v>
      </c>
      <c r="F6" s="74">
        <v>1</v>
      </c>
      <c r="G6" s="74">
        <v>1</v>
      </c>
      <c r="H6" s="75">
        <v>3.1781573592106144E-4</v>
      </c>
      <c r="I6">
        <v>0.72219999999999995</v>
      </c>
      <c r="N6" s="86" t="s">
        <v>285</v>
      </c>
    </row>
    <row r="7" spans="1:16" ht="14.4" thickBot="1" x14ac:dyDescent="0.3">
      <c r="A7">
        <v>0.56459999999999999</v>
      </c>
      <c r="B7">
        <v>30.0928</v>
      </c>
      <c r="C7">
        <v>-4.5221726985684683E-2</v>
      </c>
      <c r="D7">
        <v>0.80449999999999999</v>
      </c>
      <c r="E7">
        <v>0.50381737533739479</v>
      </c>
      <c r="F7" s="74">
        <v>1</v>
      </c>
      <c r="G7" s="74">
        <v>1</v>
      </c>
      <c r="H7" s="75">
        <v>6.6165183806372418E-4</v>
      </c>
      <c r="I7">
        <v>0.94440000000000002</v>
      </c>
      <c r="N7" s="86" t="s">
        <v>286</v>
      </c>
    </row>
    <row r="8" spans="1:16" ht="14.4" thickBot="1" x14ac:dyDescent="0.3">
      <c r="A8">
        <v>0.61899999999999999</v>
      </c>
      <c r="B8">
        <v>30.330100000000002</v>
      </c>
      <c r="C8">
        <v>0.2007998295695497</v>
      </c>
      <c r="D8">
        <v>0.65569999999999995</v>
      </c>
      <c r="E8">
        <v>1.2164132298215025</v>
      </c>
      <c r="F8" s="74">
        <v>1</v>
      </c>
      <c r="G8" s="74">
        <v>1</v>
      </c>
      <c r="H8" s="75">
        <v>3.818234899161816E-3</v>
      </c>
      <c r="I8">
        <v>0.61109999999999998</v>
      </c>
      <c r="N8" s="86" t="s">
        <v>287</v>
      </c>
    </row>
    <row r="9" spans="1:16" x14ac:dyDescent="0.25">
      <c r="A9">
        <v>0.65310000000000001</v>
      </c>
      <c r="B9">
        <v>31.076000000000001</v>
      </c>
      <c r="C9">
        <v>0.23394410818075836</v>
      </c>
      <c r="D9">
        <v>0.6885</v>
      </c>
      <c r="E9">
        <v>0.81164042469758646</v>
      </c>
      <c r="F9" s="74">
        <v>1</v>
      </c>
      <c r="G9" s="74">
        <v>0.6</v>
      </c>
      <c r="H9" s="75">
        <v>2.5916107907641029E-3</v>
      </c>
      <c r="I9">
        <v>0.72219999999999995</v>
      </c>
    </row>
    <row r="10" spans="1:16" ht="13.8" x14ac:dyDescent="0.25">
      <c r="A10">
        <v>0.57140000000000002</v>
      </c>
      <c r="B10">
        <v>30.623799999999999</v>
      </c>
      <c r="C10">
        <v>8.6859441464509468E-2</v>
      </c>
      <c r="D10">
        <v>0.50219999999999998</v>
      </c>
      <c r="E10">
        <v>-5.5671484861969961E-2</v>
      </c>
      <c r="F10" s="74">
        <v>1</v>
      </c>
      <c r="G10" s="74">
        <v>0.6</v>
      </c>
      <c r="H10" s="75">
        <v>1.4219220237988203E-4</v>
      </c>
      <c r="I10">
        <v>0.27779999999999999</v>
      </c>
      <c r="N10" s="93" t="s">
        <v>288</v>
      </c>
    </row>
    <row r="11" spans="1:16" x14ac:dyDescent="0.25">
      <c r="A11">
        <v>0.48299999999999998</v>
      </c>
      <c r="B11">
        <v>30.694800000000001</v>
      </c>
      <c r="C11">
        <v>3.4006241073669979E-2</v>
      </c>
      <c r="D11">
        <v>0.52980000000000005</v>
      </c>
      <c r="E11">
        <v>7.8964416836084017E-2</v>
      </c>
      <c r="F11" s="74">
        <v>1</v>
      </c>
      <c r="G11" s="74">
        <v>0.8</v>
      </c>
      <c r="H11" s="75">
        <v>1.228740308065475E-4</v>
      </c>
      <c r="I11">
        <v>0.61109999999999998</v>
      </c>
      <c r="N11">
        <f>_xlfn.STDEV.S(A5:A134,F5:F134)</f>
        <v>0.20647239643622278</v>
      </c>
      <c r="O11">
        <v>260</v>
      </c>
      <c r="P11">
        <f>N11/O11</f>
        <v>7.9412460167777997E-4</v>
      </c>
    </row>
    <row r="12" spans="1:16" ht="13.8" x14ac:dyDescent="0.25">
      <c r="A12">
        <v>0.57820000000000005</v>
      </c>
      <c r="B12">
        <v>30.558700000000002</v>
      </c>
      <c r="C12">
        <v>4.798874891600035E-2</v>
      </c>
      <c r="D12">
        <v>0.435</v>
      </c>
      <c r="E12">
        <v>0.20912386551802831</v>
      </c>
      <c r="F12" s="74">
        <v>1</v>
      </c>
      <c r="G12" s="74">
        <v>1</v>
      </c>
      <c r="H12" s="75">
        <v>3.6005886543279968E-5</v>
      </c>
      <c r="I12">
        <v>0.61109999999999998</v>
      </c>
      <c r="N12" s="93" t="s">
        <v>289</v>
      </c>
    </row>
    <row r="13" spans="1:16" x14ac:dyDescent="0.25">
      <c r="A13">
        <v>0.57140000000000002</v>
      </c>
      <c r="B13">
        <v>30.788399999999999</v>
      </c>
      <c r="C13">
        <v>0.57876254936051941</v>
      </c>
      <c r="D13">
        <v>0.51939999999999997</v>
      </c>
      <c r="E13">
        <v>0.3163863354558405</v>
      </c>
      <c r="F13" s="74">
        <v>1</v>
      </c>
      <c r="G13" s="74">
        <v>1</v>
      </c>
      <c r="H13" s="75">
        <v>2.7735100329814241E-5</v>
      </c>
      <c r="I13">
        <v>0.77780000000000005</v>
      </c>
      <c r="N13">
        <f>_xlfn.STDEV.S(F5:F134,H5:H134)</f>
        <v>0.44870818740515561</v>
      </c>
      <c r="O13">
        <f>COUNT(F5:F134,H5:H134)</f>
        <v>260</v>
      </c>
      <c r="P13">
        <f>N13/O13</f>
        <v>1.7258007207890599E-3</v>
      </c>
    </row>
    <row r="14" spans="1:16" x14ac:dyDescent="0.25">
      <c r="A14">
        <v>0.53059999999999996</v>
      </c>
      <c r="B14">
        <v>30.933800000000002</v>
      </c>
      <c r="C14">
        <v>0.55360358310569857</v>
      </c>
      <c r="D14">
        <v>0.5161</v>
      </c>
      <c r="E14">
        <v>0.23304064901136795</v>
      </c>
      <c r="F14" s="74">
        <v>1</v>
      </c>
      <c r="G14" s="74">
        <v>1</v>
      </c>
      <c r="H14" s="75">
        <v>9.5153644872857833E-5</v>
      </c>
      <c r="I14">
        <v>0.94440000000000002</v>
      </c>
    </row>
    <row r="15" spans="1:16" x14ac:dyDescent="0.25">
      <c r="A15">
        <v>0.55779999999999996</v>
      </c>
      <c r="B15">
        <v>31.671500000000002</v>
      </c>
      <c r="C15">
        <v>4.0197130829174754E-2</v>
      </c>
      <c r="D15">
        <v>0.86509999999999998</v>
      </c>
      <c r="E15">
        <v>-9.4754316636590383E-2</v>
      </c>
      <c r="F15" s="74">
        <v>1</v>
      </c>
      <c r="G15" s="74">
        <v>0.8</v>
      </c>
      <c r="H15" s="75">
        <v>7.7237640240130617E-3</v>
      </c>
      <c r="I15">
        <v>0.72219999999999995</v>
      </c>
    </row>
    <row r="16" spans="1:16" x14ac:dyDescent="0.25">
      <c r="A16">
        <v>0.53059999999999996</v>
      </c>
      <c r="B16">
        <v>31.577000000000002</v>
      </c>
      <c r="C16">
        <v>2.4368833298782319E-3</v>
      </c>
      <c r="D16">
        <v>0.86229999999999996</v>
      </c>
      <c r="E16">
        <v>-4.9716768481093798E-2</v>
      </c>
      <c r="F16" s="74">
        <v>0.66666666666666663</v>
      </c>
      <c r="G16" s="74">
        <v>0.8</v>
      </c>
      <c r="H16" s="75">
        <v>6.2833433333807443E-3</v>
      </c>
      <c r="I16">
        <v>0.83330000000000004</v>
      </c>
    </row>
    <row r="17" spans="1:16" x14ac:dyDescent="0.25">
      <c r="A17">
        <v>0.53739999999999999</v>
      </c>
      <c r="B17">
        <v>31.514600000000002</v>
      </c>
      <c r="C17">
        <v>-9.5326426642669493E-2</v>
      </c>
      <c r="D17">
        <v>0.96130000000000004</v>
      </c>
      <c r="E17">
        <v>-1.3504260869862112E-2</v>
      </c>
      <c r="F17" s="74">
        <v>0.66666666666666663</v>
      </c>
      <c r="G17" s="74">
        <v>0.6</v>
      </c>
      <c r="H17" s="75">
        <v>2.572515832870258E-3</v>
      </c>
      <c r="I17">
        <v>0.61109999999999998</v>
      </c>
    </row>
    <row r="18" spans="1:16" x14ac:dyDescent="0.25">
      <c r="A18">
        <v>0.51700000000000002</v>
      </c>
      <c r="B18">
        <v>31.7348</v>
      </c>
      <c r="C18">
        <v>5.8683910984077027E-2</v>
      </c>
      <c r="D18">
        <v>0.84699999999999998</v>
      </c>
      <c r="E18">
        <v>-2.5866101664630301E-2</v>
      </c>
      <c r="F18" s="74">
        <v>1</v>
      </c>
      <c r="G18" s="74">
        <v>1</v>
      </c>
      <c r="H18" s="75">
        <v>1.8561540790622097E-3</v>
      </c>
      <c r="I18">
        <v>0.5</v>
      </c>
    </row>
    <row r="19" spans="1:16" x14ac:dyDescent="0.25">
      <c r="A19">
        <v>0.61899999999999999</v>
      </c>
      <c r="B19">
        <v>31.893000000000001</v>
      </c>
      <c r="C19">
        <v>0.13382399741023257</v>
      </c>
      <c r="D19">
        <v>0.372</v>
      </c>
      <c r="E19">
        <v>-0.64334152883991991</v>
      </c>
      <c r="F19" s="74">
        <v>0.66666666666666663</v>
      </c>
      <c r="G19" s="74">
        <v>0.8</v>
      </c>
      <c r="H19" s="75">
        <v>0</v>
      </c>
      <c r="I19">
        <v>0.61109999999999998</v>
      </c>
    </row>
    <row r="20" spans="1:16" x14ac:dyDescent="0.25">
      <c r="A20">
        <v>0.56459999999999999</v>
      </c>
      <c r="B20">
        <v>29.364000000000001</v>
      </c>
      <c r="C20">
        <v>5.2568056757277104E-2</v>
      </c>
      <c r="D20">
        <v>0.41670000000000001</v>
      </c>
      <c r="E20">
        <v>0.16285905130998282</v>
      </c>
      <c r="F20" s="74">
        <v>0.66666666666666663</v>
      </c>
      <c r="G20" s="74">
        <v>0.6</v>
      </c>
      <c r="H20" s="75">
        <v>1.7145906538547269E-3</v>
      </c>
      <c r="I20">
        <v>0.55559999999999998</v>
      </c>
    </row>
    <row r="21" spans="1:16" x14ac:dyDescent="0.25">
      <c r="A21">
        <v>0.61219999999999997</v>
      </c>
      <c r="B21">
        <v>29.5487</v>
      </c>
      <c r="C21">
        <v>5.7208568133622163E-2</v>
      </c>
      <c r="D21">
        <v>0.47439999999999999</v>
      </c>
      <c r="E21">
        <v>0.22992011851449587</v>
      </c>
      <c r="F21" s="74">
        <v>1</v>
      </c>
      <c r="G21" s="74">
        <v>0.8</v>
      </c>
      <c r="H21" s="75">
        <v>1.3519397469844764E-3</v>
      </c>
      <c r="I21">
        <v>0.55559999999999998</v>
      </c>
    </row>
    <row r="22" spans="1:16" x14ac:dyDescent="0.25">
      <c r="A22">
        <v>0.50339999999999996</v>
      </c>
      <c r="B22">
        <v>29.654299999999999</v>
      </c>
      <c r="C22">
        <v>3.4672528453961023E-2</v>
      </c>
      <c r="D22">
        <v>0.50539999999999996</v>
      </c>
      <c r="E22">
        <v>0.36067219824462488</v>
      </c>
      <c r="F22" s="74">
        <v>0.66666666666666663</v>
      </c>
      <c r="G22" s="74">
        <v>0.8</v>
      </c>
      <c r="H22" s="75">
        <v>1.0221052406099204E-3</v>
      </c>
      <c r="I22">
        <v>0.55559999999999998</v>
      </c>
    </row>
    <row r="23" spans="1:16" x14ac:dyDescent="0.25">
      <c r="A23">
        <v>0.52380000000000004</v>
      </c>
      <c r="B23">
        <v>29.6099</v>
      </c>
      <c r="C23">
        <v>1.4712036934981493E-2</v>
      </c>
      <c r="D23">
        <v>0.4778</v>
      </c>
      <c r="E23">
        <v>0.39207546050068054</v>
      </c>
      <c r="F23" s="74">
        <v>1</v>
      </c>
      <c r="G23" s="74">
        <v>0.8</v>
      </c>
      <c r="H23" s="75">
        <v>1.1126688474976077E-3</v>
      </c>
      <c r="I23">
        <v>0.5</v>
      </c>
    </row>
    <row r="24" spans="1:16" x14ac:dyDescent="0.25">
      <c r="A24">
        <v>0.55779999999999996</v>
      </c>
      <c r="B24">
        <v>29.809899999999999</v>
      </c>
      <c r="C24">
        <v>4.7048630491322664E-2</v>
      </c>
      <c r="D24">
        <v>0.53400000000000003</v>
      </c>
      <c r="E24">
        <v>0.4137542149652822</v>
      </c>
      <c r="F24" s="74">
        <v>0.66666666666666663</v>
      </c>
      <c r="G24" s="74">
        <v>0.6</v>
      </c>
      <c r="H24" s="75">
        <v>6.2018388452176069E-4</v>
      </c>
      <c r="I24">
        <v>0.61109999999999998</v>
      </c>
    </row>
    <row r="25" spans="1:16" ht="13.8" x14ac:dyDescent="0.25">
      <c r="A25">
        <v>0.55779999999999996</v>
      </c>
      <c r="B25">
        <v>29.654499999999999</v>
      </c>
      <c r="C25">
        <v>4.5882716440613515E-2</v>
      </c>
      <c r="D25">
        <v>0.70109999999999995</v>
      </c>
      <c r="E25">
        <v>0.51058405020829956</v>
      </c>
      <c r="F25" s="74">
        <v>0.66666666666666663</v>
      </c>
      <c r="G25" s="74">
        <v>0.4</v>
      </c>
      <c r="H25" s="75">
        <v>1.1158805505341544E-3</v>
      </c>
      <c r="I25">
        <v>0.72219999999999995</v>
      </c>
      <c r="N25" s="93" t="s">
        <v>288</v>
      </c>
    </row>
    <row r="26" spans="1:16" x14ac:dyDescent="0.25">
      <c r="A26">
        <v>0.48980000000000001</v>
      </c>
      <c r="B26">
        <v>29.672000000000001</v>
      </c>
      <c r="C26">
        <v>5.7340751297185535E-2</v>
      </c>
      <c r="D26">
        <v>0.61429999999999996</v>
      </c>
      <c r="E26">
        <v>0.6272541947624275</v>
      </c>
      <c r="F26" s="74">
        <v>1</v>
      </c>
      <c r="G26" s="74">
        <v>0.6</v>
      </c>
      <c r="H26" s="75">
        <v>8.3360312425142093E-4</v>
      </c>
      <c r="I26">
        <v>0.5</v>
      </c>
      <c r="N26">
        <f>N11</f>
        <v>0.20647239643622278</v>
      </c>
      <c r="O26">
        <f>O11</f>
        <v>260</v>
      </c>
      <c r="P26">
        <f>P11</f>
        <v>7.9412460167777997E-4</v>
      </c>
    </row>
    <row r="27" spans="1:16" x14ac:dyDescent="0.25">
      <c r="A27">
        <v>0.54420000000000002</v>
      </c>
      <c r="B27">
        <v>29.646999999999998</v>
      </c>
      <c r="C27">
        <v>6.058748738052086E-2</v>
      </c>
      <c r="D27">
        <v>0.56310000000000004</v>
      </c>
      <c r="E27">
        <v>0.79262859756007609</v>
      </c>
      <c r="F27" s="74">
        <v>0.66666666666666663</v>
      </c>
      <c r="G27" s="74">
        <v>0.4</v>
      </c>
      <c r="H27" s="75">
        <v>6.9265114558003953E-4</v>
      </c>
      <c r="I27">
        <v>0.33329999999999999</v>
      </c>
    </row>
    <row r="28" spans="1:16" ht="13.8" x14ac:dyDescent="0.25">
      <c r="A28">
        <v>0.44900000000000001</v>
      </c>
      <c r="B28">
        <v>29.664300000000001</v>
      </c>
      <c r="C28">
        <v>7.8259689330574922E-2</v>
      </c>
      <c r="D28">
        <v>0.51149999999999995</v>
      </c>
      <c r="E28">
        <v>0.70733485084747783</v>
      </c>
      <c r="F28" s="74">
        <v>1</v>
      </c>
      <c r="G28" s="74">
        <v>0.8</v>
      </c>
      <c r="H28" s="75">
        <v>4.4830460115329171E-4</v>
      </c>
      <c r="I28">
        <v>0.66669999999999996</v>
      </c>
      <c r="N28" s="93" t="s">
        <v>290</v>
      </c>
    </row>
    <row r="29" spans="1:16" x14ac:dyDescent="0.25">
      <c r="A29">
        <v>0.54420000000000002</v>
      </c>
      <c r="B29">
        <v>29.8748</v>
      </c>
      <c r="C29">
        <v>9.2909460727100879E-2</v>
      </c>
      <c r="D29">
        <v>0.50039999999999996</v>
      </c>
      <c r="E29">
        <v>0.53753880955492372</v>
      </c>
      <c r="F29" s="74">
        <v>0.66666666666666663</v>
      </c>
      <c r="G29" s="74">
        <v>0.6</v>
      </c>
      <c r="H29" s="75">
        <v>5.7774722510982193E-4</v>
      </c>
      <c r="I29">
        <v>0.55559999999999998</v>
      </c>
      <c r="N29">
        <f>_xlfn.STDEV.S(H5:H134,G5:G134)</f>
        <v>0.38535429513540476</v>
      </c>
      <c r="O29">
        <v>260</v>
      </c>
      <c r="P29">
        <f>N29/O29</f>
        <v>1.4821319043669414E-3</v>
      </c>
    </row>
    <row r="30" spans="1:16" x14ac:dyDescent="0.25">
      <c r="A30">
        <v>0.60540000000000005</v>
      </c>
      <c r="B30">
        <v>30.608799999999999</v>
      </c>
      <c r="C30">
        <v>0.1847339411028307</v>
      </c>
      <c r="D30">
        <v>0.35039999999999999</v>
      </c>
      <c r="E30">
        <v>0.9102275729231053</v>
      </c>
      <c r="F30" s="74">
        <v>1</v>
      </c>
      <c r="G30" s="74">
        <v>0.8</v>
      </c>
      <c r="H30" s="75">
        <v>8.067638054382821E-4</v>
      </c>
      <c r="I30">
        <v>0.72219999999999995</v>
      </c>
    </row>
    <row r="31" spans="1:16" x14ac:dyDescent="0.25">
      <c r="A31">
        <v>0.62590000000000001</v>
      </c>
      <c r="B31">
        <v>30.457799999999999</v>
      </c>
      <c r="C31">
        <v>9.6743273250558204E-2</v>
      </c>
      <c r="D31">
        <v>0.193</v>
      </c>
      <c r="E31">
        <v>0.38345735742944342</v>
      </c>
      <c r="F31" s="74">
        <v>1</v>
      </c>
      <c r="G31" s="74">
        <v>1</v>
      </c>
      <c r="H31" s="75">
        <v>9.4455026752608055E-4</v>
      </c>
      <c r="I31">
        <v>0.77780000000000005</v>
      </c>
    </row>
    <row r="32" spans="1:16" x14ac:dyDescent="0.25">
      <c r="A32">
        <v>0.59860000000000002</v>
      </c>
      <c r="B32">
        <v>30.4297</v>
      </c>
      <c r="C32">
        <v>3.2191511739140366E-2</v>
      </c>
      <c r="D32">
        <v>0.1789</v>
      </c>
      <c r="E32">
        <v>0.83329956584659914</v>
      </c>
      <c r="F32" s="74">
        <v>1</v>
      </c>
      <c r="G32" s="74">
        <v>1</v>
      </c>
      <c r="H32" s="75">
        <v>6.1073303015892063E-4</v>
      </c>
      <c r="I32">
        <v>0.61109999999999998</v>
      </c>
    </row>
    <row r="33" spans="1:16" x14ac:dyDescent="0.25">
      <c r="A33">
        <v>0.52380000000000004</v>
      </c>
      <c r="B33">
        <v>30.804600000000001</v>
      </c>
      <c r="C33">
        <v>0.33817096159650661</v>
      </c>
      <c r="D33">
        <v>0.27889999999999998</v>
      </c>
      <c r="E33">
        <v>1.6935677997932792</v>
      </c>
      <c r="F33" s="74">
        <v>1</v>
      </c>
      <c r="G33" s="74">
        <v>0.8</v>
      </c>
      <c r="H33" s="75">
        <v>1.979463930444552E-4</v>
      </c>
      <c r="I33">
        <v>0.66669999999999996</v>
      </c>
    </row>
    <row r="34" spans="1:16" x14ac:dyDescent="0.25">
      <c r="A34">
        <v>0.46939999999999998</v>
      </c>
      <c r="B34">
        <v>31.362400000000001</v>
      </c>
      <c r="C34">
        <v>0.57777676123146637</v>
      </c>
      <c r="D34">
        <v>0.26129999999999998</v>
      </c>
      <c r="E34">
        <v>2.2633923768768796</v>
      </c>
      <c r="F34" s="74">
        <v>1</v>
      </c>
      <c r="G34" s="74">
        <v>0.6</v>
      </c>
      <c r="H34" s="75">
        <v>4.1171482063513166E-4</v>
      </c>
      <c r="I34">
        <v>0.55559999999999998</v>
      </c>
    </row>
    <row r="35" spans="1:16" x14ac:dyDescent="0.25">
      <c r="A35">
        <v>0.52380000000000004</v>
      </c>
      <c r="B35">
        <v>28.8139</v>
      </c>
      <c r="C35">
        <v>-6.981429393178995E-2</v>
      </c>
      <c r="D35">
        <v>0.30459999999999998</v>
      </c>
      <c r="E35">
        <v>1.3203385691236169</v>
      </c>
      <c r="F35" s="74">
        <v>0.66666666666666663</v>
      </c>
      <c r="G35" s="74">
        <v>0.6</v>
      </c>
      <c r="H35" s="75">
        <v>6.6061355659718674E-4</v>
      </c>
      <c r="I35">
        <v>0.61109999999999998</v>
      </c>
    </row>
    <row r="36" spans="1:16" x14ac:dyDescent="0.25">
      <c r="A36">
        <v>0.53739999999999999</v>
      </c>
      <c r="B36">
        <v>28.7453</v>
      </c>
      <c r="C36">
        <v>7.8986206633399302E-3</v>
      </c>
      <c r="D36">
        <v>0.21199999999999999</v>
      </c>
      <c r="E36">
        <v>1.5625731932239662</v>
      </c>
      <c r="F36" s="74">
        <v>0.66666666666666663</v>
      </c>
      <c r="G36" s="74">
        <v>0.6</v>
      </c>
      <c r="H36" s="75">
        <v>1.3523708642837159E-4</v>
      </c>
      <c r="I36">
        <v>0.38890000000000002</v>
      </c>
    </row>
    <row r="37" spans="1:16" x14ac:dyDescent="0.25">
      <c r="A37">
        <v>0.48980000000000001</v>
      </c>
      <c r="B37">
        <v>28.646999999999998</v>
      </c>
      <c r="C37">
        <v>7.2523747229654323E-2</v>
      </c>
      <c r="D37">
        <v>0.1953</v>
      </c>
      <c r="E37">
        <v>0.67072031511691121</v>
      </c>
      <c r="F37" s="74">
        <v>0.66666666666666663</v>
      </c>
      <c r="G37" s="74">
        <v>0.4</v>
      </c>
      <c r="H37" s="75">
        <v>1.3137700654000897E-4</v>
      </c>
      <c r="I37">
        <v>0.44440000000000002</v>
      </c>
    </row>
    <row r="38" spans="1:16" x14ac:dyDescent="0.25">
      <c r="A38">
        <v>0.45579999999999998</v>
      </c>
      <c r="B38">
        <v>28.566099999999999</v>
      </c>
      <c r="C38">
        <v>6.5192324649026107E-2</v>
      </c>
      <c r="D38">
        <v>4.8000000000000001E-2</v>
      </c>
      <c r="E38">
        <v>3.9498721014175251</v>
      </c>
      <c r="F38" s="74">
        <v>1</v>
      </c>
      <c r="G38" s="74">
        <v>0.8</v>
      </c>
      <c r="H38" s="75">
        <v>1.638152999943678E-4</v>
      </c>
      <c r="I38">
        <v>0.66669999999999996</v>
      </c>
    </row>
    <row r="39" spans="1:16" x14ac:dyDescent="0.25">
      <c r="A39">
        <v>0.53739999999999999</v>
      </c>
      <c r="B39">
        <v>28.835699999999999</v>
      </c>
      <c r="C39">
        <v>0.13166942504055312</v>
      </c>
      <c r="D39">
        <v>0.1179</v>
      </c>
      <c r="E39">
        <v>2.933092667775627</v>
      </c>
      <c r="F39" s="74">
        <v>0.66666666666666663</v>
      </c>
      <c r="G39" s="74">
        <v>0.6</v>
      </c>
      <c r="H39" s="75">
        <v>1.4265817160794131E-4</v>
      </c>
      <c r="I39">
        <v>0.55559999999999998</v>
      </c>
    </row>
    <row r="40" spans="1:16" x14ac:dyDescent="0.25">
      <c r="A40">
        <v>0.51700000000000002</v>
      </c>
      <c r="B40">
        <v>31.967500000000001</v>
      </c>
      <c r="C40">
        <v>-5.6290478656947493E-3</v>
      </c>
      <c r="D40">
        <v>0.7359</v>
      </c>
      <c r="E40">
        <v>0.32824603984976203</v>
      </c>
      <c r="F40" s="74">
        <v>0.66666666666666663</v>
      </c>
      <c r="G40" s="74">
        <v>0.8</v>
      </c>
      <c r="H40" s="75">
        <v>4.8556451083703653E-4</v>
      </c>
      <c r="I40">
        <v>0.55559999999999998</v>
      </c>
    </row>
    <row r="41" spans="1:16" ht="13.8" x14ac:dyDescent="0.25">
      <c r="A41">
        <v>0.46939999999999998</v>
      </c>
      <c r="B41">
        <v>32.0593</v>
      </c>
      <c r="C41">
        <v>-4.3509797402493259E-3</v>
      </c>
      <c r="D41">
        <v>0.77580000000000005</v>
      </c>
      <c r="E41">
        <v>0.55022321163782062</v>
      </c>
      <c r="F41" s="74">
        <v>0.66666666666666663</v>
      </c>
      <c r="G41" s="74">
        <v>0.6</v>
      </c>
      <c r="H41" s="75">
        <v>3.4469977937248307E-4</v>
      </c>
      <c r="I41">
        <v>0.55559999999999998</v>
      </c>
      <c r="N41" s="93" t="s">
        <v>291</v>
      </c>
    </row>
    <row r="42" spans="1:16" x14ac:dyDescent="0.25">
      <c r="A42">
        <v>0.51700000000000002</v>
      </c>
      <c r="B42">
        <v>32.057600000000001</v>
      </c>
      <c r="C42">
        <v>-3.0021906313790307E-2</v>
      </c>
      <c r="D42">
        <v>0.7944</v>
      </c>
      <c r="E42">
        <v>0.33376056536044435</v>
      </c>
      <c r="F42" s="74">
        <v>0.66666666666666663</v>
      </c>
      <c r="G42" s="74">
        <v>0.6</v>
      </c>
      <c r="H42" s="75">
        <v>2.4469858035250949E-4</v>
      </c>
      <c r="I42">
        <v>0.61109999999999998</v>
      </c>
      <c r="N42">
        <f>_xlfn.STDEV.S(A5:A134,I5:I134)</f>
        <v>0.10451520914456117</v>
      </c>
      <c r="O42">
        <v>260</v>
      </c>
      <c r="P42">
        <f>N42/O42</f>
        <v>4.0198157363292755E-4</v>
      </c>
    </row>
    <row r="43" spans="1:16" x14ac:dyDescent="0.25">
      <c r="A43">
        <v>0.43540000000000001</v>
      </c>
      <c r="B43">
        <v>32.031700000000001</v>
      </c>
      <c r="C43">
        <v>1.0871195715263973E-2</v>
      </c>
      <c r="D43">
        <v>0.78369999999999995</v>
      </c>
      <c r="E43">
        <v>0.43697633439338862</v>
      </c>
      <c r="F43" s="74">
        <v>0.66666666666666663</v>
      </c>
      <c r="G43" s="74">
        <v>0.6</v>
      </c>
      <c r="H43" s="75">
        <v>1.9424041254194891E-4</v>
      </c>
      <c r="I43">
        <v>0.61109999999999998</v>
      </c>
    </row>
    <row r="44" spans="1:16" ht="13.8" x14ac:dyDescent="0.25">
      <c r="A44">
        <v>0.60540000000000005</v>
      </c>
      <c r="B44">
        <v>32.3277</v>
      </c>
      <c r="C44">
        <v>9.1235449636519514E-2</v>
      </c>
      <c r="D44">
        <v>0.74790000000000001</v>
      </c>
      <c r="E44">
        <v>0.80941498652117383</v>
      </c>
      <c r="F44" s="74">
        <v>0.66666666666666663</v>
      </c>
      <c r="G44" s="74">
        <v>0.4</v>
      </c>
      <c r="H44" s="75">
        <v>2.3647147568735594E-4</v>
      </c>
      <c r="I44">
        <v>0.61109999999999998</v>
      </c>
      <c r="N44" s="93" t="s">
        <v>292</v>
      </c>
    </row>
    <row r="45" spans="1:16" x14ac:dyDescent="0.25">
      <c r="A45">
        <v>0.55100000000000005</v>
      </c>
      <c r="B45">
        <v>32.380600000000001</v>
      </c>
      <c r="C45">
        <v>4.6761805870997146E-2</v>
      </c>
      <c r="D45">
        <v>0.59670000000000001</v>
      </c>
      <c r="E45">
        <v>0.57273747440242984</v>
      </c>
      <c r="F45" s="74">
        <v>0.66666666666666663</v>
      </c>
      <c r="G45" s="74">
        <v>0.6</v>
      </c>
      <c r="H45" s="75">
        <v>3.7296575362942162E-4</v>
      </c>
      <c r="I45">
        <v>0.5</v>
      </c>
      <c r="N45">
        <f>_xlfn.STDEV.S(I5:I134,F5:F134)</f>
        <v>0.19136995309646143</v>
      </c>
      <c r="O45">
        <v>260</v>
      </c>
      <c r="P45">
        <f>N45/O45</f>
        <v>7.3603828114023626E-4</v>
      </c>
    </row>
    <row r="46" spans="1:16" x14ac:dyDescent="0.25">
      <c r="A46">
        <v>0.55779999999999996</v>
      </c>
      <c r="B46">
        <v>32.265900000000002</v>
      </c>
      <c r="C46">
        <v>1.4443742508241771E-2</v>
      </c>
      <c r="D46">
        <v>0.56140000000000001</v>
      </c>
      <c r="E46">
        <v>0.7280756451056547</v>
      </c>
      <c r="F46" s="74">
        <v>0.66666666666666663</v>
      </c>
      <c r="G46" s="74">
        <v>0.6</v>
      </c>
      <c r="H46" s="75">
        <v>6.5487480972469773E-4</v>
      </c>
      <c r="I46">
        <v>0.61109999999999998</v>
      </c>
    </row>
    <row r="47" spans="1:16" x14ac:dyDescent="0.25">
      <c r="A47">
        <v>0.52380000000000004</v>
      </c>
      <c r="B47">
        <v>32.301900000000003</v>
      </c>
      <c r="C47">
        <v>-2.9155723905640779E-2</v>
      </c>
      <c r="D47">
        <v>0.60770000000000002</v>
      </c>
      <c r="E47">
        <v>0.352341419013809</v>
      </c>
      <c r="F47" s="74">
        <v>1</v>
      </c>
      <c r="G47" s="74">
        <v>0.8</v>
      </c>
      <c r="H47" s="75">
        <v>1.4121674027790701E-4</v>
      </c>
      <c r="I47">
        <v>0.61109999999999998</v>
      </c>
    </row>
    <row r="48" spans="1:16" x14ac:dyDescent="0.25">
      <c r="A48">
        <v>0.58499999999999996</v>
      </c>
      <c r="B48">
        <v>32.310400000000001</v>
      </c>
      <c r="C48">
        <v>4.8740220813423531E-2</v>
      </c>
      <c r="D48">
        <v>0.56259999999999999</v>
      </c>
      <c r="E48">
        <v>0.67333898321021324</v>
      </c>
      <c r="F48" s="74">
        <v>1</v>
      </c>
      <c r="G48" s="74">
        <v>1</v>
      </c>
      <c r="H48" s="75">
        <v>2.8470583782437775E-4</v>
      </c>
      <c r="I48">
        <v>0.77780000000000005</v>
      </c>
    </row>
    <row r="49" spans="1:16" x14ac:dyDescent="0.25">
      <c r="A49">
        <v>0.53059999999999996</v>
      </c>
      <c r="B49">
        <v>32.365000000000002</v>
      </c>
      <c r="C49">
        <v>5.7302402433641902E-2</v>
      </c>
      <c r="D49">
        <v>0.52159999999999995</v>
      </c>
      <c r="E49">
        <v>0.97695909327061536</v>
      </c>
      <c r="F49" s="74">
        <v>1</v>
      </c>
      <c r="G49" s="74">
        <v>0.8</v>
      </c>
      <c r="H49" s="75">
        <v>4.4009084373033459E-4</v>
      </c>
      <c r="I49">
        <v>0.55559999999999998</v>
      </c>
    </row>
    <row r="50" spans="1:16" x14ac:dyDescent="0.25">
      <c r="A50">
        <v>0.57820000000000005</v>
      </c>
      <c r="B50">
        <v>28.102599999999999</v>
      </c>
      <c r="C50">
        <v>0.13646708243666339</v>
      </c>
      <c r="D50">
        <v>0.34860000000000002</v>
      </c>
      <c r="E50">
        <v>1.1341567620294886</v>
      </c>
      <c r="F50" s="74">
        <v>1</v>
      </c>
      <c r="G50" s="74">
        <v>0.6</v>
      </c>
      <c r="H50" s="75">
        <v>1.0368931612447466E-2</v>
      </c>
      <c r="I50">
        <v>0.55559999999999998</v>
      </c>
    </row>
    <row r="51" spans="1:16" x14ac:dyDescent="0.25">
      <c r="A51">
        <v>0.46260000000000001</v>
      </c>
      <c r="B51">
        <v>28.324400000000001</v>
      </c>
      <c r="C51">
        <v>0.10304913280475982</v>
      </c>
      <c r="D51">
        <v>0.38150000000000001</v>
      </c>
      <c r="E51">
        <v>0.66974467435329987</v>
      </c>
      <c r="F51" s="74">
        <v>1</v>
      </c>
      <c r="G51" s="74">
        <v>0.8</v>
      </c>
      <c r="H51" s="75">
        <v>2.4049408383254875E-3</v>
      </c>
      <c r="I51">
        <v>0.61109999999999998</v>
      </c>
    </row>
    <row r="52" spans="1:16" x14ac:dyDescent="0.25">
      <c r="A52">
        <v>0.47620000000000001</v>
      </c>
      <c r="B52">
        <v>28.364100000000001</v>
      </c>
      <c r="C52">
        <v>5.8550619557886291E-2</v>
      </c>
      <c r="D52">
        <v>0.35620000000000002</v>
      </c>
      <c r="E52">
        <v>0.99571138254864444</v>
      </c>
      <c r="F52" s="74">
        <v>0.66666666666666663</v>
      </c>
      <c r="G52" s="74">
        <v>0.6</v>
      </c>
      <c r="H52" s="75">
        <v>3.8725408916197349E-3</v>
      </c>
      <c r="I52">
        <v>0.61109999999999998</v>
      </c>
    </row>
    <row r="53" spans="1:16" x14ac:dyDescent="0.25">
      <c r="A53">
        <v>0.51019999999999999</v>
      </c>
      <c r="B53">
        <v>28.469200000000001</v>
      </c>
      <c r="C53">
        <v>0.16346759551651233</v>
      </c>
      <c r="D53">
        <v>0.28889999999999999</v>
      </c>
      <c r="E53">
        <v>1.1172916771506816</v>
      </c>
      <c r="F53" s="74">
        <v>1</v>
      </c>
      <c r="G53" s="74">
        <v>0.8</v>
      </c>
      <c r="H53" s="75">
        <v>6.4453287925815648E-3</v>
      </c>
      <c r="I53">
        <v>0.72219999999999995</v>
      </c>
    </row>
    <row r="54" spans="1:16" x14ac:dyDescent="0.25">
      <c r="A54">
        <v>0.55779999999999996</v>
      </c>
      <c r="B54">
        <v>28.673200000000001</v>
      </c>
      <c r="C54">
        <v>0.2600199647317315</v>
      </c>
      <c r="D54">
        <v>0.1867</v>
      </c>
      <c r="E54">
        <v>1.8090023075553556</v>
      </c>
      <c r="F54" s="74">
        <v>0.66666666666666663</v>
      </c>
      <c r="G54" s="74">
        <v>0.6</v>
      </c>
      <c r="H54" s="75">
        <v>6.2477960192422769E-4</v>
      </c>
      <c r="I54">
        <v>0.5</v>
      </c>
    </row>
    <row r="55" spans="1:16" x14ac:dyDescent="0.25">
      <c r="A55">
        <v>0.52380000000000004</v>
      </c>
      <c r="B55">
        <v>30.816299999999998</v>
      </c>
      <c r="C55">
        <v>0.22188327379639025</v>
      </c>
      <c r="D55">
        <v>0.32690000000000002</v>
      </c>
      <c r="E55">
        <v>1.5940580619227764</v>
      </c>
      <c r="F55" s="74">
        <v>0.66666666666666663</v>
      </c>
      <c r="G55" s="74">
        <v>0.6</v>
      </c>
      <c r="H55" s="75">
        <v>9.3936089555206228E-4</v>
      </c>
      <c r="I55">
        <v>0.5</v>
      </c>
    </row>
    <row r="56" spans="1:16" x14ac:dyDescent="0.25">
      <c r="A56">
        <v>0.45579999999999998</v>
      </c>
      <c r="B56">
        <v>30.892900000000001</v>
      </c>
      <c r="C56">
        <v>0.1607445726396648</v>
      </c>
      <c r="D56">
        <v>0.29409999999999997</v>
      </c>
      <c r="E56">
        <v>0.91584931183601137</v>
      </c>
      <c r="F56" s="74">
        <v>1</v>
      </c>
      <c r="G56" s="74">
        <v>1</v>
      </c>
      <c r="H56" s="75">
        <v>9.7770631693124064E-4</v>
      </c>
      <c r="I56">
        <v>0.61109999999999998</v>
      </c>
    </row>
    <row r="57" spans="1:16" ht="13.8" x14ac:dyDescent="0.25">
      <c r="A57">
        <v>0.53739999999999999</v>
      </c>
      <c r="B57">
        <v>30.811399999999999</v>
      </c>
      <c r="C57">
        <v>9.601978928958893E-2</v>
      </c>
      <c r="D57">
        <v>0.2959</v>
      </c>
      <c r="E57">
        <v>0.90733815766062731</v>
      </c>
      <c r="F57" s="74">
        <v>1</v>
      </c>
      <c r="G57" s="74">
        <v>0.8</v>
      </c>
      <c r="H57" s="75">
        <v>9.4698566053484764E-4</v>
      </c>
      <c r="I57">
        <v>0.72219999999999995</v>
      </c>
      <c r="N57" s="93" t="s">
        <v>291</v>
      </c>
    </row>
    <row r="58" spans="1:16" x14ac:dyDescent="0.25">
      <c r="A58">
        <v>0.54420000000000002</v>
      </c>
      <c r="B58">
        <v>31.218</v>
      </c>
      <c r="C58">
        <v>0.26709294901012554</v>
      </c>
      <c r="D58">
        <v>0.3286</v>
      </c>
      <c r="E58">
        <v>1.4392191766923574</v>
      </c>
      <c r="F58" s="74">
        <v>1</v>
      </c>
      <c r="G58" s="74">
        <v>0.6</v>
      </c>
      <c r="H58" s="75">
        <v>6.8376157339129935E-4</v>
      </c>
      <c r="I58">
        <v>0.5</v>
      </c>
      <c r="N58">
        <f>N42</f>
        <v>0.10451520914456117</v>
      </c>
      <c r="O58">
        <v>260</v>
      </c>
      <c r="P58">
        <f>N58/O58</f>
        <v>4.0198157363292755E-4</v>
      </c>
    </row>
    <row r="59" spans="1:16" x14ac:dyDescent="0.25">
      <c r="A59">
        <v>0.50339999999999996</v>
      </c>
      <c r="B59">
        <v>31.445599999999999</v>
      </c>
      <c r="C59">
        <v>0.31367134531645963</v>
      </c>
      <c r="D59">
        <v>0.36249999999999999</v>
      </c>
      <c r="E59">
        <v>1.1705939572669219</v>
      </c>
      <c r="F59" s="74">
        <v>0.66666666666666663</v>
      </c>
      <c r="G59" s="74">
        <v>0.6</v>
      </c>
      <c r="H59" s="75">
        <v>5.4615499371494743E-4</v>
      </c>
      <c r="I59">
        <v>0.44440000000000002</v>
      </c>
    </row>
    <row r="60" spans="1:16" ht="13.8" x14ac:dyDescent="0.25">
      <c r="A60">
        <v>0.48299999999999998</v>
      </c>
      <c r="B60">
        <v>33.473700000000001</v>
      </c>
      <c r="C60">
        <v>8.5465255151504743E-2</v>
      </c>
      <c r="D60">
        <v>0.49419999999999997</v>
      </c>
      <c r="E60">
        <v>0.23776692110211475</v>
      </c>
      <c r="F60" s="74">
        <v>1</v>
      </c>
      <c r="G60" s="74">
        <v>0.6</v>
      </c>
      <c r="H60" s="75">
        <v>3.5014838516902566E-3</v>
      </c>
      <c r="I60">
        <v>0.66669999999999996</v>
      </c>
      <c r="N60" s="93" t="s">
        <v>293</v>
      </c>
    </row>
    <row r="61" spans="1:16" x14ac:dyDescent="0.25">
      <c r="A61">
        <v>0.53059999999999996</v>
      </c>
      <c r="B61">
        <v>32.101199999999999</v>
      </c>
      <c r="C61">
        <v>0.1266967069131911</v>
      </c>
      <c r="D61">
        <v>0.16270000000000001</v>
      </c>
      <c r="E61">
        <v>0.38724658390640349</v>
      </c>
      <c r="F61" s="74">
        <v>1</v>
      </c>
      <c r="G61" s="74">
        <v>0.8</v>
      </c>
      <c r="H61" s="75">
        <v>1.0265976927302693E-2</v>
      </c>
      <c r="I61">
        <v>0.66669999999999996</v>
      </c>
      <c r="N61">
        <f>_xlfn.STDEV.S(I5:I134,G5:G134)</f>
        <v>0.16415771859841877</v>
      </c>
      <c r="O61">
        <v>260</v>
      </c>
      <c r="P61">
        <f>N61/O61</f>
        <v>6.3137584076314909E-4</v>
      </c>
    </row>
    <row r="62" spans="1:16" x14ac:dyDescent="0.25">
      <c r="A62">
        <v>0.53739999999999999</v>
      </c>
      <c r="B62">
        <v>32.151899999999998</v>
      </c>
      <c r="C62">
        <v>0.10650603753590451</v>
      </c>
      <c r="D62">
        <v>0.1578</v>
      </c>
      <c r="E62">
        <v>0.25826961770623741</v>
      </c>
      <c r="F62" s="74">
        <v>1</v>
      </c>
      <c r="G62" s="74">
        <v>1</v>
      </c>
      <c r="H62" s="75">
        <v>1.2989697451016656E-2</v>
      </c>
      <c r="I62">
        <v>0.77780000000000005</v>
      </c>
    </row>
    <row r="63" spans="1:16" x14ac:dyDescent="0.25">
      <c r="A63">
        <v>0.53739999999999999</v>
      </c>
      <c r="B63">
        <v>33.537199999999999</v>
      </c>
      <c r="C63">
        <v>0.11143000239531389</v>
      </c>
      <c r="D63">
        <v>0.41299999999999998</v>
      </c>
      <c r="E63">
        <v>0.3856597737478078</v>
      </c>
      <c r="F63" s="74">
        <v>1</v>
      </c>
      <c r="G63" s="74">
        <v>1</v>
      </c>
      <c r="H63" s="75">
        <v>3.4439480440280851E-3</v>
      </c>
      <c r="I63">
        <v>0.61109999999999998</v>
      </c>
    </row>
    <row r="64" spans="1:16" x14ac:dyDescent="0.25">
      <c r="A64">
        <v>0.48980000000000001</v>
      </c>
      <c r="B64">
        <v>33.655200000000001</v>
      </c>
      <c r="C64">
        <v>0.10356030171353611</v>
      </c>
      <c r="D64">
        <v>0.4103</v>
      </c>
      <c r="E64">
        <v>0.37334519035554287</v>
      </c>
      <c r="F64" s="74">
        <v>0.66666666666666663</v>
      </c>
      <c r="G64" s="74">
        <v>0.8</v>
      </c>
      <c r="H64" s="75">
        <v>3.2664161607754232E-3</v>
      </c>
      <c r="I64">
        <v>0.55559999999999998</v>
      </c>
    </row>
    <row r="65" spans="1:9" x14ac:dyDescent="0.25">
      <c r="A65">
        <v>0.46939999999999998</v>
      </c>
      <c r="B65">
        <v>32.387</v>
      </c>
      <c r="C65">
        <v>0.11582783205118526</v>
      </c>
      <c r="D65">
        <v>0.50939999999999996</v>
      </c>
      <c r="E65">
        <v>0.38863299659269118</v>
      </c>
      <c r="F65" s="74">
        <v>0.66666666666666663</v>
      </c>
      <c r="G65" s="74">
        <v>0.6</v>
      </c>
      <c r="H65" s="75">
        <v>1.0065701437750583E-3</v>
      </c>
      <c r="I65">
        <v>0.5</v>
      </c>
    </row>
    <row r="66" spans="1:9" x14ac:dyDescent="0.25">
      <c r="A66">
        <v>0.58499999999999996</v>
      </c>
      <c r="B66">
        <v>32.347000000000001</v>
      </c>
      <c r="C66">
        <v>9.767469192838743E-2</v>
      </c>
      <c r="D66">
        <v>0.45300000000000001</v>
      </c>
      <c r="E66">
        <v>0.28957593415162908</v>
      </c>
      <c r="F66" s="74">
        <v>1</v>
      </c>
      <c r="G66" s="74">
        <v>0.8</v>
      </c>
      <c r="H66" s="75">
        <v>7.5468134410942292E-4</v>
      </c>
      <c r="I66">
        <v>0.66669999999999996</v>
      </c>
    </row>
    <row r="67" spans="1:9" x14ac:dyDescent="0.25">
      <c r="A67">
        <v>0.42180000000000001</v>
      </c>
      <c r="B67">
        <v>32.234200000000001</v>
      </c>
      <c r="C67">
        <v>5.3258091657124446E-2</v>
      </c>
      <c r="D67">
        <v>0.36730000000000002</v>
      </c>
      <c r="E67">
        <v>0.88604105916856446</v>
      </c>
      <c r="F67" s="74">
        <v>0.66666666666666663</v>
      </c>
      <c r="G67" s="74">
        <v>0.6</v>
      </c>
      <c r="H67" s="75">
        <v>3.638141247194178E-4</v>
      </c>
      <c r="I67">
        <v>0.55559999999999998</v>
      </c>
    </row>
    <row r="68" spans="1:9" x14ac:dyDescent="0.25">
      <c r="A68">
        <v>0.47620000000000001</v>
      </c>
      <c r="B68">
        <v>32.354500000000002</v>
      </c>
      <c r="C68">
        <v>9.9907243902342208E-2</v>
      </c>
      <c r="D68">
        <v>0.3619</v>
      </c>
      <c r="E68">
        <v>0.76370781303738255</v>
      </c>
      <c r="F68" s="74">
        <v>1</v>
      </c>
      <c r="G68" s="74">
        <v>1</v>
      </c>
      <c r="H68" s="75">
        <v>4.9627156232908212E-4</v>
      </c>
      <c r="I68">
        <v>0.83330000000000004</v>
      </c>
    </row>
    <row r="69" spans="1:9" x14ac:dyDescent="0.25">
      <c r="A69">
        <v>0.55100000000000005</v>
      </c>
      <c r="B69">
        <v>32.576099999999997</v>
      </c>
      <c r="C69">
        <v>0.18173973702832952</v>
      </c>
      <c r="D69">
        <v>0.36280000000000001</v>
      </c>
      <c r="E69">
        <v>0.78243619812661114</v>
      </c>
      <c r="F69" s="74">
        <v>1</v>
      </c>
      <c r="G69" s="74">
        <v>0.8</v>
      </c>
      <c r="H69" s="75">
        <v>2.0870851011637248E-4</v>
      </c>
      <c r="I69">
        <v>0.61109999999999998</v>
      </c>
    </row>
    <row r="70" spans="1:9" x14ac:dyDescent="0.25">
      <c r="A70">
        <v>0.51019999999999999</v>
      </c>
      <c r="B70">
        <v>31.684799999999999</v>
      </c>
      <c r="C70">
        <v>-5.7872972661392887E-2</v>
      </c>
      <c r="D70">
        <v>0.68159999999999998</v>
      </c>
      <c r="E70">
        <v>0.59477602083835723</v>
      </c>
      <c r="F70" s="74">
        <v>1</v>
      </c>
      <c r="G70" s="74">
        <v>0.8</v>
      </c>
      <c r="H70" s="75">
        <v>3.237028307413166E-3</v>
      </c>
      <c r="I70">
        <v>0.55559999999999998</v>
      </c>
    </row>
    <row r="71" spans="1:9" x14ac:dyDescent="0.25">
      <c r="A71">
        <v>0.51019999999999999</v>
      </c>
      <c r="B71">
        <v>31.7698</v>
      </c>
      <c r="C71">
        <v>1.1849862015586408E-2</v>
      </c>
      <c r="D71">
        <v>0.69510000000000005</v>
      </c>
      <c r="E71">
        <v>0.58033156436387545</v>
      </c>
      <c r="F71" s="74">
        <v>0.66666666666666663</v>
      </c>
      <c r="G71" s="74">
        <v>0.4</v>
      </c>
      <c r="H71" s="75">
        <v>2.8509366281387009E-3</v>
      </c>
      <c r="I71">
        <v>0.66669999999999996</v>
      </c>
    </row>
    <row r="72" spans="1:9" x14ac:dyDescent="0.25">
      <c r="A72">
        <v>0.50339999999999996</v>
      </c>
      <c r="B72">
        <v>31.846800000000002</v>
      </c>
      <c r="C72">
        <v>1.0929715643442937E-2</v>
      </c>
      <c r="D72">
        <v>0.71750000000000003</v>
      </c>
      <c r="E72">
        <v>0.7397253009492496</v>
      </c>
      <c r="F72" s="74">
        <v>1</v>
      </c>
      <c r="G72" s="74">
        <v>1</v>
      </c>
      <c r="H72" s="75">
        <v>1.1978743818732011E-3</v>
      </c>
      <c r="I72">
        <v>0.61109999999999998</v>
      </c>
    </row>
    <row r="73" spans="1:9" x14ac:dyDescent="0.25">
      <c r="A73">
        <v>0.53059999999999996</v>
      </c>
      <c r="B73">
        <v>32.354500000000002</v>
      </c>
      <c r="C73">
        <v>0.11766936269290473</v>
      </c>
      <c r="D73">
        <v>0.3619</v>
      </c>
      <c r="E73">
        <v>0.76370781303738255</v>
      </c>
      <c r="F73" s="74">
        <v>0.66666666666666663</v>
      </c>
      <c r="G73" s="74">
        <v>0.6</v>
      </c>
      <c r="H73" s="75">
        <v>1.0883664194663754E-3</v>
      </c>
      <c r="I73">
        <v>0.55559999999999998</v>
      </c>
    </row>
    <row r="74" spans="1:9" x14ac:dyDescent="0.25">
      <c r="A74">
        <v>0.53739999999999999</v>
      </c>
      <c r="B74">
        <v>32.576099999999997</v>
      </c>
      <c r="C74">
        <v>0.18173973702832952</v>
      </c>
      <c r="D74">
        <v>0.36280000000000001</v>
      </c>
      <c r="E74">
        <v>0.78243619812661114</v>
      </c>
      <c r="F74" s="74">
        <v>1</v>
      </c>
      <c r="G74" s="74">
        <v>0.8</v>
      </c>
      <c r="H74" s="75">
        <v>1.0468455537093223E-3</v>
      </c>
      <c r="I74">
        <v>0.77780000000000005</v>
      </c>
    </row>
    <row r="75" spans="1:9" x14ac:dyDescent="0.25">
      <c r="A75">
        <v>0.56459999999999999</v>
      </c>
      <c r="B75">
        <v>32.0428</v>
      </c>
      <c r="C75">
        <v>2.5202323201490608E-2</v>
      </c>
      <c r="D75">
        <v>0.75490000000000002</v>
      </c>
      <c r="E75">
        <v>2.9271880404646174E-2</v>
      </c>
      <c r="F75" s="74">
        <v>0.66666666666666663</v>
      </c>
      <c r="G75" s="74">
        <v>0.6</v>
      </c>
      <c r="H75" s="75">
        <v>4.3800792119708104E-4</v>
      </c>
      <c r="I75">
        <v>0.61109999999999998</v>
      </c>
    </row>
    <row r="76" spans="1:9" x14ac:dyDescent="0.25">
      <c r="A76">
        <v>0.53059999999999996</v>
      </c>
      <c r="B76">
        <v>32.232999999999997</v>
      </c>
      <c r="C76">
        <v>2.277769173630698E-2</v>
      </c>
      <c r="D76">
        <v>0.76739999999999997</v>
      </c>
      <c r="E76">
        <v>8.1984511208852903E-2</v>
      </c>
      <c r="F76" s="74">
        <v>1</v>
      </c>
      <c r="G76" s="74">
        <v>0.8</v>
      </c>
      <c r="H76" s="75">
        <v>3.2805117437805962E-4</v>
      </c>
      <c r="I76">
        <v>0.5</v>
      </c>
    </row>
    <row r="77" spans="1:9" x14ac:dyDescent="0.25">
      <c r="A77">
        <v>0.45579999999999998</v>
      </c>
      <c r="B77">
        <v>32.276200000000003</v>
      </c>
      <c r="C77">
        <v>-4.1437877321566063E-4</v>
      </c>
      <c r="D77">
        <v>0.76200000000000001</v>
      </c>
      <c r="E77">
        <v>9.6507616510413813E-2</v>
      </c>
      <c r="F77" s="74">
        <v>0.66666666666666663</v>
      </c>
      <c r="G77" s="74">
        <v>0.6</v>
      </c>
      <c r="H77" s="75">
        <v>8.691968909143284E-5</v>
      </c>
      <c r="I77">
        <v>0.61109999999999998</v>
      </c>
    </row>
    <row r="78" spans="1:9" x14ac:dyDescent="0.25">
      <c r="A78">
        <v>0.56459999999999999</v>
      </c>
      <c r="B78">
        <v>32.2485</v>
      </c>
      <c r="C78">
        <v>8.4862221230428952E-3</v>
      </c>
      <c r="D78">
        <v>0.74809999999999999</v>
      </c>
      <c r="E78">
        <v>0.23010236809716991</v>
      </c>
      <c r="F78" s="74">
        <v>1</v>
      </c>
      <c r="G78" s="74">
        <v>1</v>
      </c>
      <c r="H78" s="75">
        <v>7.3513936080751743E-5</v>
      </c>
      <c r="I78">
        <v>0.5</v>
      </c>
    </row>
    <row r="79" spans="1:9" x14ac:dyDescent="0.25">
      <c r="A79">
        <v>0.61219999999999997</v>
      </c>
      <c r="B79">
        <v>32.1434</v>
      </c>
      <c r="C79">
        <v>2.4157220559217821E-2</v>
      </c>
      <c r="D79">
        <v>0.71889999999999998</v>
      </c>
      <c r="E79">
        <v>0.28915848389210302</v>
      </c>
      <c r="F79" s="74">
        <v>0.66666666666666663</v>
      </c>
      <c r="G79" s="74">
        <v>0.8</v>
      </c>
      <c r="H79" s="75">
        <v>7.1319490227594981E-5</v>
      </c>
      <c r="I79">
        <v>0.44440000000000002</v>
      </c>
    </row>
    <row r="80" spans="1:9" x14ac:dyDescent="0.25">
      <c r="A80">
        <v>0.53059999999999996</v>
      </c>
      <c r="B80">
        <v>31.5928</v>
      </c>
      <c r="C80">
        <v>4.1534038826595301E-2</v>
      </c>
      <c r="D80">
        <v>0.6895</v>
      </c>
      <c r="E80">
        <v>2.7000380871747616E-2</v>
      </c>
      <c r="F80" s="74">
        <v>1</v>
      </c>
      <c r="G80" s="74">
        <v>0.8</v>
      </c>
      <c r="H80" s="75">
        <v>2.376982724433243E-4</v>
      </c>
      <c r="I80">
        <v>0.83330000000000004</v>
      </c>
    </row>
    <row r="81" spans="1:9" x14ac:dyDescent="0.25">
      <c r="A81">
        <v>0.54420000000000002</v>
      </c>
      <c r="B81">
        <v>31.6587</v>
      </c>
      <c r="C81">
        <v>1.9288851567244514E-2</v>
      </c>
      <c r="D81">
        <v>0.73260000000000003</v>
      </c>
      <c r="E81">
        <v>1.0082427771042866E-2</v>
      </c>
      <c r="F81" s="74">
        <v>1</v>
      </c>
      <c r="G81" s="74">
        <v>0.8</v>
      </c>
      <c r="H81" s="75">
        <v>1.6488005480573794E-4</v>
      </c>
      <c r="I81">
        <v>0.55559999999999998</v>
      </c>
    </row>
    <row r="82" spans="1:9" x14ac:dyDescent="0.25">
      <c r="A82">
        <v>0.50339999999999996</v>
      </c>
      <c r="B82">
        <v>31.610199999999999</v>
      </c>
      <c r="C82">
        <v>4.858807279375944E-3</v>
      </c>
      <c r="D82">
        <v>0.73809999999999998</v>
      </c>
      <c r="E82">
        <v>-9.6112960504267271E-3</v>
      </c>
      <c r="F82" s="74">
        <v>0.66666666666666663</v>
      </c>
      <c r="G82" s="74">
        <v>0.6</v>
      </c>
      <c r="H82" s="75">
        <v>6.7304780501102968E-3</v>
      </c>
      <c r="I82">
        <v>0.55559999999999998</v>
      </c>
    </row>
    <row r="83" spans="1:9" x14ac:dyDescent="0.25">
      <c r="A83">
        <v>0.54420000000000002</v>
      </c>
      <c r="B83">
        <v>31.648700000000002</v>
      </c>
      <c r="C83">
        <v>6.6287806696015998E-3</v>
      </c>
      <c r="D83">
        <v>0.74209999999999998</v>
      </c>
      <c r="E83">
        <v>1.5547827819839781E-2</v>
      </c>
      <c r="F83" s="74">
        <v>1</v>
      </c>
      <c r="G83" s="74">
        <v>0.6</v>
      </c>
      <c r="H83" s="75">
        <v>2.3117552295900379E-3</v>
      </c>
      <c r="I83">
        <v>0.66669999999999996</v>
      </c>
    </row>
    <row r="84" spans="1:9" x14ac:dyDescent="0.25">
      <c r="A84">
        <v>0.53059999999999996</v>
      </c>
      <c r="B84">
        <v>31.684799999999999</v>
      </c>
      <c r="C84">
        <v>6.4626543557444044E-3</v>
      </c>
      <c r="D84">
        <v>0.74270000000000003</v>
      </c>
      <c r="E84">
        <v>1.0040108184203178E-2</v>
      </c>
      <c r="F84" s="74">
        <v>1</v>
      </c>
      <c r="G84" s="74">
        <v>0.6</v>
      </c>
      <c r="H84" s="75">
        <v>1.4322194583536252E-3</v>
      </c>
      <c r="I84">
        <v>0.61109999999999998</v>
      </c>
    </row>
    <row r="85" spans="1:9" x14ac:dyDescent="0.25">
      <c r="A85">
        <v>0.55779999999999996</v>
      </c>
      <c r="B85">
        <v>30.921500000000002</v>
      </c>
      <c r="C85">
        <v>5.8515705228447519E-2</v>
      </c>
      <c r="D85">
        <v>0.27489999999999998</v>
      </c>
      <c r="E85">
        <v>0.66478630145001028</v>
      </c>
      <c r="F85" s="74">
        <v>1</v>
      </c>
      <c r="G85" s="74">
        <v>0.6</v>
      </c>
      <c r="H85" s="75">
        <v>2.9366681650984638E-4</v>
      </c>
      <c r="I85">
        <v>0.55559999999999998</v>
      </c>
    </row>
    <row r="86" spans="1:9" x14ac:dyDescent="0.25">
      <c r="A86">
        <v>0.45579999999999998</v>
      </c>
      <c r="B86">
        <v>30.925899999999999</v>
      </c>
      <c r="C86">
        <v>9.0516092270914589E-3</v>
      </c>
      <c r="D86">
        <v>0.2964</v>
      </c>
      <c r="E86">
        <v>0.82485439743675659</v>
      </c>
      <c r="F86" s="74">
        <v>1</v>
      </c>
      <c r="G86" s="74">
        <v>0.6</v>
      </c>
      <c r="H86" s="75">
        <v>4.3423096890931473E-4</v>
      </c>
      <c r="I86">
        <v>0.66669999999999996</v>
      </c>
    </row>
    <row r="87" spans="1:9" x14ac:dyDescent="0.25">
      <c r="A87">
        <v>0.53739999999999999</v>
      </c>
      <c r="B87">
        <v>30.955400000000001</v>
      </c>
      <c r="C87">
        <v>3.2646268113867581E-2</v>
      </c>
      <c r="D87">
        <v>0.30719999999999997</v>
      </c>
      <c r="E87">
        <v>1.2954846455186202</v>
      </c>
      <c r="F87" s="74">
        <v>1</v>
      </c>
      <c r="G87" s="74">
        <v>0.6</v>
      </c>
      <c r="H87" s="75">
        <v>4.1189679463807775E-4</v>
      </c>
      <c r="I87">
        <v>0.5</v>
      </c>
    </row>
    <row r="88" spans="1:9" x14ac:dyDescent="0.25">
      <c r="A88">
        <v>0.51700000000000002</v>
      </c>
      <c r="B88">
        <v>31.045500000000001</v>
      </c>
      <c r="C88">
        <v>7.1066400782095404E-2</v>
      </c>
      <c r="D88">
        <v>0.30359999999999998</v>
      </c>
      <c r="E88">
        <v>0.82127412339717021</v>
      </c>
      <c r="F88" s="74">
        <v>1</v>
      </c>
      <c r="G88" s="74">
        <v>0.6</v>
      </c>
      <c r="H88" s="75">
        <v>4.7526462746299279E-4</v>
      </c>
      <c r="I88">
        <v>0.66669999999999996</v>
      </c>
    </row>
    <row r="89" spans="1:9" x14ac:dyDescent="0.25">
      <c r="A89">
        <v>0.50339999999999996</v>
      </c>
      <c r="B89">
        <v>31.006900000000002</v>
      </c>
      <c r="C89">
        <v>6.0086258257145447E-2</v>
      </c>
      <c r="D89">
        <v>0.23949999999999999</v>
      </c>
      <c r="E89">
        <v>0.89403387046570792</v>
      </c>
      <c r="F89" s="74">
        <v>0.66666666666666663</v>
      </c>
      <c r="G89" s="74">
        <v>0.8</v>
      </c>
      <c r="H89" s="75">
        <v>5.0708836507080155E-4</v>
      </c>
      <c r="I89">
        <v>0.61109999999999998</v>
      </c>
    </row>
    <row r="90" spans="1:9" x14ac:dyDescent="0.25">
      <c r="A90">
        <v>0.51700000000000002</v>
      </c>
      <c r="B90">
        <v>31.712399999999999</v>
      </c>
      <c r="C90">
        <v>3.952388241313002E-2</v>
      </c>
      <c r="D90">
        <v>0.70930000000000004</v>
      </c>
      <c r="E90">
        <v>9.636612996741499E-2</v>
      </c>
      <c r="F90" s="74">
        <v>1</v>
      </c>
      <c r="G90" s="74">
        <v>0.6</v>
      </c>
      <c r="H90" s="75">
        <v>8.1460514926058115E-4</v>
      </c>
      <c r="I90">
        <v>0.55559999999999998</v>
      </c>
    </row>
    <row r="91" spans="1:9" x14ac:dyDescent="0.25">
      <c r="A91">
        <v>0.43540000000000001</v>
      </c>
      <c r="B91">
        <v>31.759899999999998</v>
      </c>
      <c r="C91">
        <v>4.3200870518245081E-2</v>
      </c>
      <c r="D91">
        <v>0.69059999999999999</v>
      </c>
      <c r="E91">
        <v>8.7562119309611258E-3</v>
      </c>
      <c r="F91" s="74">
        <v>0.66666666666666663</v>
      </c>
      <c r="G91" s="74">
        <v>0.8</v>
      </c>
      <c r="H91" s="75">
        <v>8.7701891853027032E-4</v>
      </c>
      <c r="I91">
        <v>0.66669999999999996</v>
      </c>
    </row>
    <row r="92" spans="1:9" x14ac:dyDescent="0.25">
      <c r="A92">
        <v>0.48980000000000001</v>
      </c>
      <c r="B92">
        <v>31.8521</v>
      </c>
      <c r="C92">
        <v>4.9507361830711258E-3</v>
      </c>
      <c r="D92">
        <v>0.75539999999999996</v>
      </c>
      <c r="E92">
        <v>3.1986351630860208E-3</v>
      </c>
      <c r="F92" s="74">
        <v>0.66666666666666663</v>
      </c>
      <c r="G92" s="74">
        <v>0.6</v>
      </c>
      <c r="H92" s="75">
        <v>5.2325271383804064E-4</v>
      </c>
      <c r="I92">
        <v>0.5</v>
      </c>
    </row>
    <row r="93" spans="1:9" x14ac:dyDescent="0.25">
      <c r="A93">
        <v>0.55100000000000005</v>
      </c>
      <c r="B93">
        <v>31.870699999999999</v>
      </c>
      <c r="C93">
        <v>3.1190199771328948E-3</v>
      </c>
      <c r="D93">
        <v>0.74870000000000003</v>
      </c>
      <c r="E93">
        <v>-0.10109487047878031</v>
      </c>
      <c r="F93" s="74">
        <v>0.66666666666666663</v>
      </c>
      <c r="G93" s="74">
        <v>0.4</v>
      </c>
      <c r="H93" s="75">
        <v>4.3538881819750409E-4</v>
      </c>
      <c r="I93">
        <v>0.5</v>
      </c>
    </row>
    <row r="94" spans="1:9" x14ac:dyDescent="0.25">
      <c r="A94">
        <v>0.55779999999999996</v>
      </c>
      <c r="B94">
        <v>31.949400000000001</v>
      </c>
      <c r="C94">
        <v>1.7426050012350549E-4</v>
      </c>
      <c r="D94">
        <v>0.76700000000000002</v>
      </c>
      <c r="E94">
        <v>-7.9744538244468186E-2</v>
      </c>
      <c r="F94" s="74">
        <v>0.66666666666666663</v>
      </c>
      <c r="G94" s="74">
        <v>0.4</v>
      </c>
      <c r="H94" s="75">
        <v>4.2900673759729043E-4</v>
      </c>
      <c r="I94">
        <v>0.55559999999999998</v>
      </c>
    </row>
    <row r="95" spans="1:9" x14ac:dyDescent="0.25">
      <c r="A95">
        <v>0.56459999999999999</v>
      </c>
      <c r="B95">
        <v>32.454500000000003</v>
      </c>
      <c r="C95">
        <v>4.1563929411206228E-2</v>
      </c>
      <c r="D95">
        <v>0.76780000000000004</v>
      </c>
      <c r="E95">
        <v>5.3435808289838134E-2</v>
      </c>
      <c r="F95" s="74">
        <v>0.66666666666666663</v>
      </c>
      <c r="G95" s="74">
        <v>0.6</v>
      </c>
      <c r="H95" s="75">
        <v>4.5019208421544228E-5</v>
      </c>
      <c r="I95">
        <v>0.33329999999999999</v>
      </c>
    </row>
    <row r="96" spans="1:9" x14ac:dyDescent="0.25">
      <c r="A96">
        <v>0.61219999999999997</v>
      </c>
      <c r="B96">
        <v>32.439900000000002</v>
      </c>
      <c r="C96">
        <v>8.3318071461134201E-3</v>
      </c>
      <c r="D96">
        <v>0.76249999999999996</v>
      </c>
      <c r="E96">
        <v>0.2002121206298132</v>
      </c>
      <c r="F96" s="74">
        <v>1</v>
      </c>
      <c r="G96" s="74">
        <v>1</v>
      </c>
      <c r="H96" s="75">
        <v>9.9193736330729866E-5</v>
      </c>
      <c r="I96">
        <v>0.72219999999999995</v>
      </c>
    </row>
    <row r="97" spans="1:9" x14ac:dyDescent="0.25">
      <c r="A97">
        <v>0.56459999999999999</v>
      </c>
      <c r="B97">
        <v>32.290599999999998</v>
      </c>
      <c r="C97">
        <v>-8.323078487574416E-2</v>
      </c>
      <c r="D97">
        <v>0.84299999999999997</v>
      </c>
      <c r="E97">
        <v>8.5215606570952993E-3</v>
      </c>
      <c r="F97" s="74">
        <v>1</v>
      </c>
      <c r="G97" s="74">
        <v>1</v>
      </c>
      <c r="H97" s="75">
        <v>4.7896685796753366E-4</v>
      </c>
      <c r="I97">
        <v>0.88890000000000002</v>
      </c>
    </row>
    <row r="98" spans="1:9" x14ac:dyDescent="0.25">
      <c r="A98">
        <v>0.50339999999999996</v>
      </c>
      <c r="B98">
        <v>32.271599999999999</v>
      </c>
      <c r="C98">
        <v>-1.7579505853380271E-2</v>
      </c>
      <c r="D98">
        <v>0.8508</v>
      </c>
      <c r="E98">
        <v>7.0872486544620028E-3</v>
      </c>
      <c r="F98" s="74">
        <v>1</v>
      </c>
      <c r="G98" s="74">
        <v>0.6</v>
      </c>
      <c r="H98" s="75">
        <v>2.7163197784691405E-4</v>
      </c>
      <c r="I98">
        <v>0.66669999999999996</v>
      </c>
    </row>
    <row r="99" spans="1:9" x14ac:dyDescent="0.25">
      <c r="A99">
        <v>0.55100000000000005</v>
      </c>
      <c r="B99">
        <v>32.218400000000003</v>
      </c>
      <c r="C99">
        <v>-1.657534805362525E-2</v>
      </c>
      <c r="D99">
        <v>0.85499999999999998</v>
      </c>
      <c r="E99">
        <v>-4.9681375210228725E-3</v>
      </c>
      <c r="F99" s="74">
        <v>1</v>
      </c>
      <c r="G99" s="74">
        <v>0.6</v>
      </c>
      <c r="H99" s="75">
        <v>1.4952864700420489E-3</v>
      </c>
      <c r="I99">
        <v>0.77780000000000005</v>
      </c>
    </row>
    <row r="100" spans="1:9" x14ac:dyDescent="0.25">
      <c r="A100">
        <v>0.53739999999999999</v>
      </c>
      <c r="B100">
        <v>29.420200000000001</v>
      </c>
      <c r="C100">
        <v>1.0792495293953694E-2</v>
      </c>
      <c r="D100">
        <v>0.58620000000000005</v>
      </c>
      <c r="E100">
        <v>0.14676958037848215</v>
      </c>
      <c r="F100" s="74">
        <v>1</v>
      </c>
      <c r="G100" s="74">
        <v>0.8</v>
      </c>
      <c r="H100" s="75">
        <v>2.4755304273816037E-3</v>
      </c>
      <c r="I100">
        <v>0.66669999999999996</v>
      </c>
    </row>
    <row r="101" spans="1:9" x14ac:dyDescent="0.25">
      <c r="A101">
        <v>0.53059999999999996</v>
      </c>
      <c r="B101">
        <v>29.535799999999998</v>
      </c>
      <c r="C101">
        <v>-2.7052400500618346E-2</v>
      </c>
      <c r="D101">
        <v>0.68679999999999997</v>
      </c>
      <c r="E101">
        <v>0.59246930658827601</v>
      </c>
      <c r="F101" s="74">
        <v>0.66666666666666663</v>
      </c>
      <c r="G101" s="74">
        <v>0.4</v>
      </c>
      <c r="H101" s="75">
        <v>2.4745989694023116E-3</v>
      </c>
      <c r="I101">
        <v>0.5</v>
      </c>
    </row>
    <row r="102" spans="1:9" x14ac:dyDescent="0.25">
      <c r="A102">
        <v>0.53739999999999999</v>
      </c>
      <c r="B102">
        <v>29.515999999999998</v>
      </c>
      <c r="C102">
        <v>-1.2808869506084151E-2</v>
      </c>
      <c r="D102">
        <v>0.66879999999999995</v>
      </c>
      <c r="E102">
        <v>-0.15871869972360877</v>
      </c>
      <c r="F102" s="74">
        <v>1</v>
      </c>
      <c r="G102" s="74">
        <v>0.8</v>
      </c>
      <c r="H102" s="75">
        <v>2.6041834808678602E-3</v>
      </c>
      <c r="I102">
        <v>0.66669999999999996</v>
      </c>
    </row>
    <row r="103" spans="1:9" x14ac:dyDescent="0.25">
      <c r="A103">
        <v>0.50339999999999996</v>
      </c>
      <c r="B103">
        <v>29.5487</v>
      </c>
      <c r="C103">
        <v>1.323567548847777E-3</v>
      </c>
      <c r="D103">
        <v>0.67149999999999999</v>
      </c>
      <c r="E103">
        <v>0.47163598857505556</v>
      </c>
      <c r="F103" s="74">
        <v>1</v>
      </c>
      <c r="G103" s="74">
        <v>0.8</v>
      </c>
      <c r="H103" s="75">
        <v>3.0091729199724368E-3</v>
      </c>
      <c r="I103">
        <v>0.66669999999999996</v>
      </c>
    </row>
    <row r="104" spans="1:9" x14ac:dyDescent="0.25">
      <c r="A104">
        <v>0.53059999999999996</v>
      </c>
      <c r="B104">
        <v>29.631900000000002</v>
      </c>
      <c r="C104">
        <v>-4.5619558573291856E-2</v>
      </c>
      <c r="D104">
        <v>0.71009999999999995</v>
      </c>
      <c r="E104">
        <v>1.6545852397055898</v>
      </c>
      <c r="F104" s="74">
        <v>1</v>
      </c>
      <c r="G104" s="74">
        <v>0.8</v>
      </c>
      <c r="H104" s="75">
        <v>3.6404290704186815E-3</v>
      </c>
      <c r="I104">
        <v>0.5</v>
      </c>
    </row>
    <row r="105" spans="1:9" x14ac:dyDescent="0.25">
      <c r="A105">
        <v>0.51700000000000002</v>
      </c>
      <c r="B105">
        <v>30.9556</v>
      </c>
      <c r="C105">
        <v>4.0455136123660286E-2</v>
      </c>
      <c r="D105">
        <v>0.1643</v>
      </c>
      <c r="E105">
        <v>0.50552965891754464</v>
      </c>
      <c r="F105" s="74">
        <v>1</v>
      </c>
      <c r="G105" s="74">
        <v>1</v>
      </c>
      <c r="H105" s="75">
        <v>4.1376736226941141E-4</v>
      </c>
      <c r="I105">
        <v>0.61109999999999998</v>
      </c>
    </row>
    <row r="106" spans="1:9" x14ac:dyDescent="0.25">
      <c r="A106">
        <v>0.51700000000000002</v>
      </c>
      <c r="B106">
        <v>30.9527</v>
      </c>
      <c r="C106">
        <v>6.6141513442217803E-2</v>
      </c>
      <c r="D106">
        <v>0.16700000000000001</v>
      </c>
      <c r="E106">
        <v>0.90359033364623653</v>
      </c>
      <c r="F106" s="74">
        <v>1</v>
      </c>
      <c r="G106" s="74">
        <v>0.8</v>
      </c>
      <c r="H106" s="75">
        <v>3.5426912521836399E-4</v>
      </c>
      <c r="I106">
        <v>0.66669999999999996</v>
      </c>
    </row>
    <row r="107" spans="1:9" x14ac:dyDescent="0.25">
      <c r="A107">
        <v>0.55100000000000005</v>
      </c>
      <c r="B107">
        <v>30.939499999999999</v>
      </c>
      <c r="C107">
        <v>6.5622436477407592E-2</v>
      </c>
      <c r="D107">
        <v>0.189</v>
      </c>
      <c r="E107">
        <v>0.83919542803577651</v>
      </c>
      <c r="F107" s="74">
        <v>0.66666666666666663</v>
      </c>
      <c r="G107" s="74">
        <v>0.6</v>
      </c>
      <c r="H107" s="75">
        <v>2.984127950044528E-4</v>
      </c>
      <c r="I107">
        <v>0.61109999999999998</v>
      </c>
    </row>
    <row r="108" spans="1:9" x14ac:dyDescent="0.25">
      <c r="A108">
        <v>0.58499999999999996</v>
      </c>
      <c r="B108">
        <v>30.894300000000001</v>
      </c>
      <c r="C108">
        <v>6.6883684170236393E-2</v>
      </c>
      <c r="D108">
        <v>0.21099999999999999</v>
      </c>
      <c r="E108">
        <v>0.56100368750196383</v>
      </c>
      <c r="F108" s="74">
        <v>1</v>
      </c>
      <c r="G108" s="74">
        <v>1</v>
      </c>
      <c r="H108" s="75">
        <v>3.4745027512506256E-4</v>
      </c>
      <c r="I108">
        <v>0.66669999999999996</v>
      </c>
    </row>
    <row r="109" spans="1:9" x14ac:dyDescent="0.25">
      <c r="A109">
        <v>0.60540000000000005</v>
      </c>
      <c r="B109">
        <v>30.877800000000001</v>
      </c>
      <c r="C109">
        <v>7.1078428394058188E-2</v>
      </c>
      <c r="D109">
        <v>0.23880000000000001</v>
      </c>
      <c r="E109">
        <v>0.49807077835787839</v>
      </c>
      <c r="F109" s="74">
        <v>1</v>
      </c>
      <c r="G109" s="74">
        <v>1</v>
      </c>
      <c r="H109" s="75">
        <v>4.3573198324495569E-4</v>
      </c>
      <c r="I109">
        <v>0.72219999999999995</v>
      </c>
    </row>
    <row r="110" spans="1:9" x14ac:dyDescent="0.25">
      <c r="A110">
        <v>0.57140000000000002</v>
      </c>
      <c r="B110">
        <v>30.5578</v>
      </c>
      <c r="C110">
        <v>-4.3244052072422566E-2</v>
      </c>
      <c r="D110">
        <v>0.65629999999999999</v>
      </c>
      <c r="E110">
        <v>4.1532478933034904E-2</v>
      </c>
      <c r="F110" s="74">
        <v>1</v>
      </c>
      <c r="G110" s="74">
        <v>0.8</v>
      </c>
      <c r="H110" s="75">
        <v>9.4979495303711267E-5</v>
      </c>
      <c r="I110">
        <v>0.72219999999999995</v>
      </c>
    </row>
    <row r="111" spans="1:9" x14ac:dyDescent="0.25">
      <c r="A111">
        <v>0.46260000000000001</v>
      </c>
      <c r="B111">
        <v>30.604900000000001</v>
      </c>
      <c r="C111">
        <v>2.6104674329081042E-2</v>
      </c>
      <c r="D111">
        <v>0.64319999999999999</v>
      </c>
      <c r="E111">
        <v>7.0640653334260159E-2</v>
      </c>
      <c r="F111" s="74">
        <v>0.66666666666666663</v>
      </c>
      <c r="G111" s="74">
        <v>0.4</v>
      </c>
      <c r="H111" s="75">
        <v>1.2622973054603098E-4</v>
      </c>
      <c r="I111">
        <v>0.66669999999999996</v>
      </c>
    </row>
    <row r="112" spans="1:9" x14ac:dyDescent="0.25">
      <c r="A112">
        <v>0.51019999999999999</v>
      </c>
      <c r="B112">
        <v>30.663</v>
      </c>
      <c r="C112">
        <v>3.2302589641152554E-2</v>
      </c>
      <c r="D112">
        <v>0.63519999999999999</v>
      </c>
      <c r="E112">
        <v>0.24147211057490889</v>
      </c>
      <c r="F112" s="74">
        <v>0.66666666666666663</v>
      </c>
      <c r="G112" s="74">
        <v>0.4</v>
      </c>
      <c r="H112" s="75">
        <v>5.4489014797625147E-6</v>
      </c>
      <c r="I112">
        <v>0.33329999999999999</v>
      </c>
    </row>
    <row r="113" spans="1:9" x14ac:dyDescent="0.25">
      <c r="A113">
        <v>0.48980000000000001</v>
      </c>
      <c r="B113">
        <v>30.698699999999999</v>
      </c>
      <c r="C113">
        <v>3.3784437232785278E-2</v>
      </c>
      <c r="D113">
        <v>0.47889999999999999</v>
      </c>
      <c r="E113">
        <v>0.39405386358845423</v>
      </c>
      <c r="F113" s="74">
        <v>0.66666666666666663</v>
      </c>
      <c r="G113" s="74">
        <v>0.8</v>
      </c>
      <c r="H113" s="75">
        <v>5.6069922776593745E-5</v>
      </c>
      <c r="I113">
        <v>0.83330000000000004</v>
      </c>
    </row>
    <row r="114" spans="1:9" x14ac:dyDescent="0.25">
      <c r="A114">
        <v>0.48299999999999998</v>
      </c>
      <c r="B114">
        <v>30.6934</v>
      </c>
      <c r="C114">
        <v>3.915489352309949E-2</v>
      </c>
      <c r="D114">
        <v>0.44519999999999998</v>
      </c>
      <c r="E114">
        <v>0.61768265019096091</v>
      </c>
      <c r="F114" s="74">
        <v>1</v>
      </c>
      <c r="G114" s="74">
        <v>0.8</v>
      </c>
      <c r="H114" s="75">
        <v>3.72336519242922E-5</v>
      </c>
      <c r="I114">
        <v>0.72219999999999995</v>
      </c>
    </row>
    <row r="115" spans="1:9" x14ac:dyDescent="0.25">
      <c r="A115">
        <v>0.53739999999999999</v>
      </c>
      <c r="B115">
        <v>31.766100000000002</v>
      </c>
      <c r="C115">
        <v>2.5977635284750004E-2</v>
      </c>
      <c r="D115">
        <v>0.41470000000000001</v>
      </c>
      <c r="E115">
        <v>-0.38633710704774238</v>
      </c>
      <c r="F115" s="74">
        <v>1</v>
      </c>
      <c r="G115" s="74">
        <v>0.8</v>
      </c>
      <c r="H115" s="75">
        <v>6.5560052605492282E-4</v>
      </c>
      <c r="I115">
        <v>0.55559999999999998</v>
      </c>
    </row>
    <row r="116" spans="1:9" x14ac:dyDescent="0.25">
      <c r="A116">
        <v>0.55779999999999996</v>
      </c>
      <c r="B116">
        <v>31.959399999999999</v>
      </c>
      <c r="C116">
        <v>2.4634102482829087E-2</v>
      </c>
      <c r="D116">
        <v>0.4743</v>
      </c>
      <c r="E116">
        <v>-0.27214493493854897</v>
      </c>
      <c r="F116" s="74">
        <v>1</v>
      </c>
      <c r="G116" s="74">
        <v>0.8</v>
      </c>
      <c r="H116" s="75">
        <v>5.1771546217659991E-4</v>
      </c>
      <c r="I116">
        <v>0.66669999999999996</v>
      </c>
    </row>
    <row r="117" spans="1:9" x14ac:dyDescent="0.25">
      <c r="A117">
        <v>0.53059999999999996</v>
      </c>
      <c r="B117">
        <v>32.243600000000001</v>
      </c>
      <c r="C117">
        <v>2.1598924046038609E-2</v>
      </c>
      <c r="D117">
        <v>0.60429999999999995</v>
      </c>
      <c r="E117">
        <v>-0.28012647551442371</v>
      </c>
      <c r="F117" s="74">
        <v>0.66666666666666663</v>
      </c>
      <c r="G117" s="74">
        <v>0.6</v>
      </c>
      <c r="H117" s="75">
        <v>1.5721820131816967E-3</v>
      </c>
      <c r="I117">
        <v>0.66669999999999996</v>
      </c>
    </row>
    <row r="118" spans="1:9" x14ac:dyDescent="0.25">
      <c r="A118">
        <v>0.55100000000000005</v>
      </c>
      <c r="B118">
        <v>32.371600000000001</v>
      </c>
      <c r="C118">
        <v>1.7005325903277461E-2</v>
      </c>
      <c r="D118">
        <v>0.64580000000000004</v>
      </c>
      <c r="E118">
        <v>-9.7630907549551754E-2</v>
      </c>
      <c r="F118" s="74">
        <v>1</v>
      </c>
      <c r="G118" s="74">
        <v>0.8</v>
      </c>
      <c r="H118" s="75">
        <v>1.3981315615711613E-3</v>
      </c>
      <c r="I118">
        <v>0.61109999999999998</v>
      </c>
    </row>
    <row r="119" spans="1:9" x14ac:dyDescent="0.25">
      <c r="A119">
        <v>0.50339999999999996</v>
      </c>
      <c r="B119">
        <v>32.394300000000001</v>
      </c>
      <c r="C119">
        <v>1.8682719237705751E-2</v>
      </c>
      <c r="D119">
        <v>0.64549999999999996</v>
      </c>
      <c r="E119">
        <v>-2.9922290207314531E-2</v>
      </c>
      <c r="F119" s="74">
        <v>0.66666666666666663</v>
      </c>
      <c r="G119" s="74">
        <v>0.8</v>
      </c>
      <c r="H119" s="75">
        <v>2.0108379397825765E-3</v>
      </c>
      <c r="I119">
        <v>0.72219999999999995</v>
      </c>
    </row>
    <row r="120" spans="1:9" x14ac:dyDescent="0.25">
      <c r="A120">
        <v>0.53739999999999999</v>
      </c>
      <c r="B120">
        <v>30.346900000000002</v>
      </c>
      <c r="C120">
        <v>3.9367558810750006E-2</v>
      </c>
      <c r="D120">
        <v>0.56859999999999999</v>
      </c>
      <c r="E120">
        <v>-0.23003582594036415</v>
      </c>
      <c r="F120" s="74">
        <v>1</v>
      </c>
      <c r="G120" s="74">
        <v>0.8</v>
      </c>
      <c r="H120" s="75">
        <v>9.9712005815868663E-4</v>
      </c>
      <c r="I120">
        <v>0.5</v>
      </c>
    </row>
    <row r="121" spans="1:9" x14ac:dyDescent="0.25">
      <c r="A121">
        <v>0.49659999999999999</v>
      </c>
      <c r="B121">
        <v>30.6447</v>
      </c>
      <c r="C121">
        <v>-3.445869986002513E-2</v>
      </c>
      <c r="D121">
        <v>0.74170000000000003</v>
      </c>
      <c r="E121">
        <v>-0.17396193485884354</v>
      </c>
      <c r="F121" s="74">
        <v>0.66666666666666663</v>
      </c>
      <c r="G121" s="74">
        <v>0.6</v>
      </c>
      <c r="H121" s="75">
        <v>6.6502017127805044E-4</v>
      </c>
      <c r="I121">
        <v>0.55559999999999998</v>
      </c>
    </row>
    <row r="122" spans="1:9" x14ac:dyDescent="0.25">
      <c r="A122">
        <v>0.55779999999999996</v>
      </c>
      <c r="B122">
        <v>30.3064</v>
      </c>
      <c r="C122">
        <v>-1.9530503445370447E-2</v>
      </c>
      <c r="D122">
        <v>0.65969999999999995</v>
      </c>
      <c r="E122">
        <v>0.92084519361347894</v>
      </c>
      <c r="F122" s="74">
        <v>1</v>
      </c>
      <c r="G122" s="74">
        <v>0.8</v>
      </c>
      <c r="H122" s="75">
        <v>4.9282508875372823E-4</v>
      </c>
      <c r="I122">
        <v>0.72219999999999995</v>
      </c>
    </row>
    <row r="123" spans="1:9" x14ac:dyDescent="0.25">
      <c r="A123">
        <v>0.51700000000000002</v>
      </c>
      <c r="B123">
        <v>30.318300000000001</v>
      </c>
      <c r="C123">
        <v>8.9209276047959571E-2</v>
      </c>
      <c r="D123">
        <v>0.5706</v>
      </c>
      <c r="E123">
        <v>0.71041190716128588</v>
      </c>
      <c r="F123" s="74">
        <v>0.66666666666666663</v>
      </c>
      <c r="G123" s="74">
        <v>0.6</v>
      </c>
      <c r="H123" s="75">
        <v>3.6042501971786926E-4</v>
      </c>
      <c r="I123">
        <v>0.66669999999999996</v>
      </c>
    </row>
    <row r="124" spans="1:9" x14ac:dyDescent="0.25">
      <c r="A124">
        <v>0.54420000000000002</v>
      </c>
      <c r="B124">
        <v>30.2011</v>
      </c>
      <c r="C124">
        <v>7.5046063355148698E-2</v>
      </c>
      <c r="D124">
        <v>0.46110000000000001</v>
      </c>
      <c r="E124">
        <v>1.2227362577610794</v>
      </c>
      <c r="F124" s="74">
        <v>0.66666666666666663</v>
      </c>
      <c r="G124" s="74">
        <v>0.4</v>
      </c>
      <c r="H124" s="75">
        <v>3.3026119738798019E-4</v>
      </c>
      <c r="I124">
        <v>0.5</v>
      </c>
    </row>
    <row r="125" spans="1:9" x14ac:dyDescent="0.25">
      <c r="A125">
        <v>0.49659999999999999</v>
      </c>
      <c r="B125">
        <v>30.3538</v>
      </c>
      <c r="C125">
        <v>7.3218438385890372E-2</v>
      </c>
      <c r="D125">
        <v>0.48220000000000002</v>
      </c>
      <c r="E125">
        <v>0.2481285891871588</v>
      </c>
      <c r="F125" s="74">
        <v>0.66666666666666663</v>
      </c>
      <c r="G125" s="74">
        <v>0.6</v>
      </c>
      <c r="H125" s="75">
        <v>3.1052945285886692E-4</v>
      </c>
      <c r="I125">
        <v>0.5</v>
      </c>
    </row>
    <row r="126" spans="1:9" x14ac:dyDescent="0.25">
      <c r="A126">
        <v>0.48980000000000001</v>
      </c>
      <c r="B126">
        <v>30.4129</v>
      </c>
      <c r="C126">
        <v>5.1393684644530334E-2</v>
      </c>
      <c r="D126">
        <v>0.49630000000000002</v>
      </c>
      <c r="E126">
        <v>4.3922779786619995E-3</v>
      </c>
      <c r="F126" s="74">
        <v>0.66666666666666663</v>
      </c>
      <c r="G126" s="74">
        <v>0.4</v>
      </c>
      <c r="H126" s="75">
        <v>1.5730685715651015E-4</v>
      </c>
      <c r="I126">
        <v>0.5</v>
      </c>
    </row>
    <row r="127" spans="1:9" x14ac:dyDescent="0.25">
      <c r="A127">
        <v>0.55779999999999996</v>
      </c>
      <c r="B127">
        <v>29.9879</v>
      </c>
      <c r="C127">
        <v>-0.35646214938717402</v>
      </c>
      <c r="D127">
        <v>0.89039999999999997</v>
      </c>
      <c r="E127">
        <v>7.6246777191201084E-2</v>
      </c>
      <c r="F127" s="74">
        <v>1</v>
      </c>
      <c r="G127" s="74">
        <v>0.8</v>
      </c>
      <c r="H127" s="75">
        <v>2.0133005717881181E-4</v>
      </c>
      <c r="I127">
        <v>0.72219999999999995</v>
      </c>
    </row>
    <row r="128" spans="1:9" x14ac:dyDescent="0.25">
      <c r="A128">
        <v>0.55779999999999996</v>
      </c>
      <c r="B128">
        <v>29.559899999999999</v>
      </c>
      <c r="C128">
        <v>-0.22286741850354788</v>
      </c>
      <c r="D128">
        <v>1.4036999999999999</v>
      </c>
      <c r="E128">
        <v>-1.9279731429222816E-3</v>
      </c>
      <c r="F128" s="74">
        <v>1</v>
      </c>
      <c r="G128" s="74">
        <v>0.8</v>
      </c>
      <c r="H128" s="75">
        <v>2.6366533266112153E-4</v>
      </c>
      <c r="I128">
        <v>0.72219999999999995</v>
      </c>
    </row>
    <row r="129" spans="1:9" x14ac:dyDescent="0.25">
      <c r="A129">
        <v>0.46939999999999998</v>
      </c>
      <c r="B129">
        <v>29.416699999999999</v>
      </c>
      <c r="C129">
        <v>0.10521307892138883</v>
      </c>
      <c r="D129">
        <v>1.3527</v>
      </c>
      <c r="E129">
        <v>2.3295696466975699E-2</v>
      </c>
      <c r="F129" s="74">
        <v>1</v>
      </c>
      <c r="G129" s="74">
        <v>0.8</v>
      </c>
      <c r="H129" s="75">
        <v>4.7729291970939478E-4</v>
      </c>
      <c r="I129">
        <v>0.83330000000000004</v>
      </c>
    </row>
    <row r="130" spans="1:9" x14ac:dyDescent="0.25">
      <c r="A130">
        <v>0.48980000000000001</v>
      </c>
      <c r="B130">
        <v>29.815000000000001</v>
      </c>
      <c r="C130">
        <v>6.1021651169029877E-2</v>
      </c>
      <c r="D130">
        <v>0.64680000000000004</v>
      </c>
      <c r="E130">
        <v>0.13974210378826721</v>
      </c>
      <c r="F130" s="74">
        <v>0.66666666666666663</v>
      </c>
      <c r="G130" s="74">
        <v>0.4</v>
      </c>
      <c r="H130" s="75">
        <v>1.3318371851768517E-4</v>
      </c>
      <c r="I130">
        <v>0.33329999999999999</v>
      </c>
    </row>
    <row r="131" spans="1:9" x14ac:dyDescent="0.25">
      <c r="A131">
        <v>0.53059999999999996</v>
      </c>
      <c r="B131">
        <v>29.966799999999999</v>
      </c>
      <c r="C131">
        <v>5.3144683899951778E-2</v>
      </c>
      <c r="D131">
        <v>0.66059999999999997</v>
      </c>
      <c r="E131">
        <v>0.20427499398925011</v>
      </c>
      <c r="F131" s="74">
        <v>1</v>
      </c>
      <c r="G131" s="74">
        <v>0.8</v>
      </c>
      <c r="H131" s="75">
        <v>1.0387419082331978E-4</v>
      </c>
      <c r="I131">
        <v>0.55559999999999998</v>
      </c>
    </row>
    <row r="132" spans="1:9" x14ac:dyDescent="0.25">
      <c r="A132">
        <v>0.54420000000000002</v>
      </c>
      <c r="B132">
        <v>29.772099999999998</v>
      </c>
      <c r="C132">
        <v>1.3068143671771214E-2</v>
      </c>
      <c r="D132">
        <v>0.60150000000000003</v>
      </c>
      <c r="E132">
        <v>0.17066680123439718</v>
      </c>
      <c r="F132" s="74">
        <v>1</v>
      </c>
      <c r="G132" s="74">
        <v>0.8</v>
      </c>
      <c r="H132" s="75">
        <v>1.5092360854187885E-4</v>
      </c>
      <c r="I132">
        <v>0.77780000000000005</v>
      </c>
    </row>
    <row r="133" spans="1:9" x14ac:dyDescent="0.25">
      <c r="A133">
        <v>0.48299999999999998</v>
      </c>
      <c r="B133">
        <v>29.837399999999999</v>
      </c>
      <c r="C133">
        <v>9.2583152499790822E-3</v>
      </c>
      <c r="D133">
        <v>0.61629999999999996</v>
      </c>
      <c r="E133">
        <v>6.9277967935764606E-3</v>
      </c>
      <c r="F133" s="74">
        <v>1</v>
      </c>
      <c r="G133" s="74">
        <v>1</v>
      </c>
      <c r="H133" s="75">
        <v>4.3395488557244563E-4</v>
      </c>
      <c r="I133">
        <v>0.88890000000000002</v>
      </c>
    </row>
    <row r="134" spans="1:9" x14ac:dyDescent="0.25">
      <c r="A134">
        <v>0.53739999999999999</v>
      </c>
      <c r="B134">
        <v>29.876799999999999</v>
      </c>
      <c r="C134">
        <v>1.8462998398155184E-2</v>
      </c>
      <c r="D134">
        <v>0.6149</v>
      </c>
      <c r="E134">
        <v>4.666406930212046E-3</v>
      </c>
      <c r="F134" s="74">
        <v>1</v>
      </c>
      <c r="G134" s="74">
        <v>1</v>
      </c>
      <c r="H134" s="75">
        <v>4.3400989574667118E-4</v>
      </c>
      <c r="I134">
        <v>1</v>
      </c>
    </row>
    <row r="139" spans="1:9" x14ac:dyDescent="0.25">
      <c r="A139" t="s">
        <v>19</v>
      </c>
    </row>
    <row r="140" spans="1:9" x14ac:dyDescent="0.25">
      <c r="A140">
        <v>1</v>
      </c>
    </row>
    <row r="141" spans="1:9" x14ac:dyDescent="0.25">
      <c r="A141">
        <v>1</v>
      </c>
    </row>
    <row r="142" spans="1:9" x14ac:dyDescent="0.25">
      <c r="A142">
        <v>1</v>
      </c>
    </row>
    <row r="143" spans="1:9" x14ac:dyDescent="0.25">
      <c r="A143">
        <v>1</v>
      </c>
    </row>
    <row r="144" spans="1:9" x14ac:dyDescent="0.25">
      <c r="A144">
        <v>1</v>
      </c>
    </row>
    <row r="145" spans="1:1" x14ac:dyDescent="0.25">
      <c r="A145">
        <v>1</v>
      </c>
    </row>
    <row r="146" spans="1:1" x14ac:dyDescent="0.25">
      <c r="A146">
        <v>1</v>
      </c>
    </row>
    <row r="147" spans="1:1" x14ac:dyDescent="0.25">
      <c r="A147">
        <v>1</v>
      </c>
    </row>
    <row r="148" spans="1:1" x14ac:dyDescent="0.25">
      <c r="A148">
        <v>1</v>
      </c>
    </row>
    <row r="149" spans="1:1" x14ac:dyDescent="0.25">
      <c r="A149">
        <v>1</v>
      </c>
    </row>
    <row r="150" spans="1:1" x14ac:dyDescent="0.25">
      <c r="A150">
        <v>1</v>
      </c>
    </row>
    <row r="151" spans="1:1" x14ac:dyDescent="0.25">
      <c r="A151">
        <v>1</v>
      </c>
    </row>
    <row r="152" spans="1:1" x14ac:dyDescent="0.25">
      <c r="A152">
        <v>1</v>
      </c>
    </row>
    <row r="153" spans="1:1" x14ac:dyDescent="0.25">
      <c r="A153">
        <v>1</v>
      </c>
    </row>
    <row r="154" spans="1:1" x14ac:dyDescent="0.25">
      <c r="A154">
        <v>1</v>
      </c>
    </row>
    <row r="155" spans="1:1" x14ac:dyDescent="0.25">
      <c r="A155">
        <v>1</v>
      </c>
    </row>
    <row r="156" spans="1:1" x14ac:dyDescent="0.25">
      <c r="A156">
        <v>1</v>
      </c>
    </row>
    <row r="157" spans="1:1" x14ac:dyDescent="0.25">
      <c r="A157">
        <v>1</v>
      </c>
    </row>
    <row r="158" spans="1:1" x14ac:dyDescent="0.25">
      <c r="A158">
        <v>1</v>
      </c>
    </row>
    <row r="159" spans="1:1" x14ac:dyDescent="0.25">
      <c r="A159">
        <v>1</v>
      </c>
    </row>
    <row r="160" spans="1:1" x14ac:dyDescent="0.25">
      <c r="A160">
        <v>1</v>
      </c>
    </row>
    <row r="161" spans="1:1" x14ac:dyDescent="0.25">
      <c r="A161">
        <v>1</v>
      </c>
    </row>
    <row r="162" spans="1:1" x14ac:dyDescent="0.25">
      <c r="A162">
        <v>1</v>
      </c>
    </row>
    <row r="163" spans="1:1" x14ac:dyDescent="0.25">
      <c r="A163">
        <v>1</v>
      </c>
    </row>
    <row r="164" spans="1:1" x14ac:dyDescent="0.25">
      <c r="A164">
        <v>1</v>
      </c>
    </row>
    <row r="165" spans="1:1" x14ac:dyDescent="0.25">
      <c r="A165">
        <v>1</v>
      </c>
    </row>
    <row r="166" spans="1:1" x14ac:dyDescent="0.25">
      <c r="A166">
        <v>1</v>
      </c>
    </row>
    <row r="167" spans="1:1" x14ac:dyDescent="0.25">
      <c r="A167">
        <v>1</v>
      </c>
    </row>
    <row r="168" spans="1:1" x14ac:dyDescent="0.25">
      <c r="A168">
        <v>1</v>
      </c>
    </row>
    <row r="169" spans="1:1" x14ac:dyDescent="0.25">
      <c r="A169">
        <v>1</v>
      </c>
    </row>
    <row r="170" spans="1:1" x14ac:dyDescent="0.25">
      <c r="A170">
        <v>1</v>
      </c>
    </row>
    <row r="171" spans="1:1" x14ac:dyDescent="0.25">
      <c r="A171">
        <v>1</v>
      </c>
    </row>
    <row r="172" spans="1:1" x14ac:dyDescent="0.25">
      <c r="A172">
        <v>1</v>
      </c>
    </row>
    <row r="173" spans="1:1" x14ac:dyDescent="0.25">
      <c r="A173">
        <v>1</v>
      </c>
    </row>
    <row r="174" spans="1:1" x14ac:dyDescent="0.25">
      <c r="A174">
        <v>1</v>
      </c>
    </row>
    <row r="175" spans="1:1" x14ac:dyDescent="0.25">
      <c r="A175">
        <v>1</v>
      </c>
    </row>
    <row r="176" spans="1:1" x14ac:dyDescent="0.25">
      <c r="A176">
        <v>1</v>
      </c>
    </row>
    <row r="177" spans="1:1" x14ac:dyDescent="0.25">
      <c r="A177">
        <v>1</v>
      </c>
    </row>
    <row r="178" spans="1:1" x14ac:dyDescent="0.25">
      <c r="A178">
        <v>1</v>
      </c>
    </row>
    <row r="179" spans="1:1" x14ac:dyDescent="0.25">
      <c r="A179">
        <v>1</v>
      </c>
    </row>
    <row r="180" spans="1:1" x14ac:dyDescent="0.25">
      <c r="A180">
        <v>1</v>
      </c>
    </row>
    <row r="181" spans="1:1" x14ac:dyDescent="0.25">
      <c r="A181">
        <v>1</v>
      </c>
    </row>
    <row r="182" spans="1:1" x14ac:dyDescent="0.25">
      <c r="A182">
        <v>1</v>
      </c>
    </row>
    <row r="183" spans="1:1" x14ac:dyDescent="0.25">
      <c r="A183">
        <v>1</v>
      </c>
    </row>
    <row r="184" spans="1:1" x14ac:dyDescent="0.25">
      <c r="A184">
        <v>1</v>
      </c>
    </row>
    <row r="185" spans="1:1" x14ac:dyDescent="0.25">
      <c r="A185">
        <v>1</v>
      </c>
    </row>
    <row r="186" spans="1:1" x14ac:dyDescent="0.25">
      <c r="A186">
        <v>1</v>
      </c>
    </row>
    <row r="187" spans="1:1" x14ac:dyDescent="0.25">
      <c r="A187">
        <v>1</v>
      </c>
    </row>
    <row r="188" spans="1:1" x14ac:dyDescent="0.25">
      <c r="A188">
        <v>1</v>
      </c>
    </row>
    <row r="189" spans="1:1" x14ac:dyDescent="0.25">
      <c r="A189">
        <v>1</v>
      </c>
    </row>
    <row r="190" spans="1:1" x14ac:dyDescent="0.25">
      <c r="A190">
        <v>1</v>
      </c>
    </row>
    <row r="191" spans="1:1" x14ac:dyDescent="0.25">
      <c r="A191">
        <v>1</v>
      </c>
    </row>
    <row r="192" spans="1:1" x14ac:dyDescent="0.25">
      <c r="A192">
        <v>1</v>
      </c>
    </row>
    <row r="193" spans="1:1" x14ac:dyDescent="0.25">
      <c r="A193">
        <v>1</v>
      </c>
    </row>
    <row r="194" spans="1:1" x14ac:dyDescent="0.25">
      <c r="A194">
        <v>1</v>
      </c>
    </row>
    <row r="195" spans="1:1" x14ac:dyDescent="0.25">
      <c r="A195">
        <v>1</v>
      </c>
    </row>
    <row r="196" spans="1:1" x14ac:dyDescent="0.25">
      <c r="A196">
        <v>1</v>
      </c>
    </row>
    <row r="197" spans="1:1" x14ac:dyDescent="0.25">
      <c r="A197">
        <v>1</v>
      </c>
    </row>
    <row r="198" spans="1:1" x14ac:dyDescent="0.25">
      <c r="A198">
        <v>1</v>
      </c>
    </row>
    <row r="199" spans="1:1" x14ac:dyDescent="0.25">
      <c r="A199">
        <v>1</v>
      </c>
    </row>
    <row r="200" spans="1:1" x14ac:dyDescent="0.25">
      <c r="A200">
        <v>1</v>
      </c>
    </row>
    <row r="201" spans="1:1" x14ac:dyDescent="0.25">
      <c r="A201">
        <v>1</v>
      </c>
    </row>
    <row r="202" spans="1:1" x14ac:dyDescent="0.25">
      <c r="A202">
        <v>1</v>
      </c>
    </row>
    <row r="203" spans="1:1" x14ac:dyDescent="0.25">
      <c r="A203">
        <v>1</v>
      </c>
    </row>
    <row r="204" spans="1:1" x14ac:dyDescent="0.25">
      <c r="A204">
        <v>1</v>
      </c>
    </row>
    <row r="205" spans="1:1" x14ac:dyDescent="0.25">
      <c r="A205">
        <v>1</v>
      </c>
    </row>
    <row r="206" spans="1:1" x14ac:dyDescent="0.25">
      <c r="A206">
        <v>1</v>
      </c>
    </row>
    <row r="207" spans="1:1" x14ac:dyDescent="0.25">
      <c r="A207">
        <v>1</v>
      </c>
    </row>
    <row r="208" spans="1:1" x14ac:dyDescent="0.25">
      <c r="A208">
        <v>1</v>
      </c>
    </row>
    <row r="209" spans="1:1" x14ac:dyDescent="0.25">
      <c r="A209">
        <v>1</v>
      </c>
    </row>
    <row r="210" spans="1:1" x14ac:dyDescent="0.25">
      <c r="A210">
        <v>1</v>
      </c>
    </row>
    <row r="211" spans="1:1" x14ac:dyDescent="0.25">
      <c r="A211">
        <v>1</v>
      </c>
    </row>
    <row r="212" spans="1:1" x14ac:dyDescent="0.25">
      <c r="A212">
        <v>1</v>
      </c>
    </row>
    <row r="213" spans="1:1" x14ac:dyDescent="0.25">
      <c r="A213">
        <v>1</v>
      </c>
    </row>
    <row r="214" spans="1:1" x14ac:dyDescent="0.25">
      <c r="A214">
        <v>1</v>
      </c>
    </row>
    <row r="215" spans="1:1" x14ac:dyDescent="0.25">
      <c r="A215">
        <v>1</v>
      </c>
    </row>
    <row r="216" spans="1:1" x14ac:dyDescent="0.25">
      <c r="A216">
        <v>1</v>
      </c>
    </row>
    <row r="217" spans="1:1" x14ac:dyDescent="0.25">
      <c r="A217">
        <v>1</v>
      </c>
    </row>
    <row r="218" spans="1:1" x14ac:dyDescent="0.25">
      <c r="A218">
        <v>1</v>
      </c>
    </row>
    <row r="219" spans="1:1" x14ac:dyDescent="0.25">
      <c r="A219">
        <v>1</v>
      </c>
    </row>
    <row r="220" spans="1:1" x14ac:dyDescent="0.25">
      <c r="A220">
        <v>1</v>
      </c>
    </row>
    <row r="221" spans="1:1" x14ac:dyDescent="0.25">
      <c r="A221">
        <v>1</v>
      </c>
    </row>
    <row r="222" spans="1:1" x14ac:dyDescent="0.25">
      <c r="A222">
        <v>1</v>
      </c>
    </row>
    <row r="223" spans="1:1" x14ac:dyDescent="0.25">
      <c r="A223">
        <v>1</v>
      </c>
    </row>
    <row r="224" spans="1:1" x14ac:dyDescent="0.25">
      <c r="A224">
        <v>1</v>
      </c>
    </row>
    <row r="225" spans="1:1" x14ac:dyDescent="0.25">
      <c r="A225">
        <v>1</v>
      </c>
    </row>
    <row r="226" spans="1:1" x14ac:dyDescent="0.25">
      <c r="A226">
        <v>1</v>
      </c>
    </row>
    <row r="227" spans="1:1" x14ac:dyDescent="0.25">
      <c r="A227">
        <v>1</v>
      </c>
    </row>
    <row r="228" spans="1:1" x14ac:dyDescent="0.25">
      <c r="A228">
        <v>1</v>
      </c>
    </row>
    <row r="229" spans="1:1" x14ac:dyDescent="0.25">
      <c r="A229">
        <v>1</v>
      </c>
    </row>
    <row r="230" spans="1:1" x14ac:dyDescent="0.25">
      <c r="A230">
        <v>1</v>
      </c>
    </row>
    <row r="231" spans="1:1" x14ac:dyDescent="0.25">
      <c r="A231">
        <v>1</v>
      </c>
    </row>
    <row r="232" spans="1:1" x14ac:dyDescent="0.25">
      <c r="A232">
        <v>1</v>
      </c>
    </row>
    <row r="233" spans="1:1" x14ac:dyDescent="0.25">
      <c r="A233">
        <v>1</v>
      </c>
    </row>
    <row r="234" spans="1:1" x14ac:dyDescent="0.25">
      <c r="A234">
        <v>1</v>
      </c>
    </row>
    <row r="235" spans="1:1" x14ac:dyDescent="0.25">
      <c r="A235">
        <v>1</v>
      </c>
    </row>
    <row r="236" spans="1:1" x14ac:dyDescent="0.25">
      <c r="A236">
        <v>1</v>
      </c>
    </row>
    <row r="237" spans="1:1" x14ac:dyDescent="0.25">
      <c r="A237">
        <v>1</v>
      </c>
    </row>
    <row r="238" spans="1:1" x14ac:dyDescent="0.25">
      <c r="A238">
        <v>1</v>
      </c>
    </row>
    <row r="239" spans="1:1" x14ac:dyDescent="0.25">
      <c r="A239">
        <v>1</v>
      </c>
    </row>
    <row r="240" spans="1:1" x14ac:dyDescent="0.25">
      <c r="A240">
        <v>1</v>
      </c>
    </row>
    <row r="241" spans="1:1" x14ac:dyDescent="0.25">
      <c r="A241">
        <v>1</v>
      </c>
    </row>
    <row r="242" spans="1:1" x14ac:dyDescent="0.25">
      <c r="A242">
        <v>1</v>
      </c>
    </row>
    <row r="243" spans="1:1" x14ac:dyDescent="0.25">
      <c r="A243">
        <v>1</v>
      </c>
    </row>
    <row r="244" spans="1:1" x14ac:dyDescent="0.25">
      <c r="A244">
        <v>1</v>
      </c>
    </row>
    <row r="245" spans="1:1" x14ac:dyDescent="0.25">
      <c r="A245">
        <v>1</v>
      </c>
    </row>
    <row r="246" spans="1:1" x14ac:dyDescent="0.25">
      <c r="A246">
        <v>1</v>
      </c>
    </row>
    <row r="247" spans="1:1" x14ac:dyDescent="0.25">
      <c r="A247">
        <v>1</v>
      </c>
    </row>
    <row r="248" spans="1:1" x14ac:dyDescent="0.25">
      <c r="A248">
        <v>1</v>
      </c>
    </row>
    <row r="249" spans="1:1" x14ac:dyDescent="0.25">
      <c r="A249">
        <v>1</v>
      </c>
    </row>
    <row r="250" spans="1:1" x14ac:dyDescent="0.25">
      <c r="A250">
        <v>1</v>
      </c>
    </row>
    <row r="251" spans="1:1" x14ac:dyDescent="0.25">
      <c r="A251">
        <v>1</v>
      </c>
    </row>
    <row r="252" spans="1:1" x14ac:dyDescent="0.25">
      <c r="A252">
        <v>1</v>
      </c>
    </row>
    <row r="253" spans="1:1" x14ac:dyDescent="0.25">
      <c r="A253">
        <v>1</v>
      </c>
    </row>
    <row r="254" spans="1:1" x14ac:dyDescent="0.25">
      <c r="A254">
        <v>1</v>
      </c>
    </row>
    <row r="255" spans="1:1" x14ac:dyDescent="0.25">
      <c r="A255">
        <v>1</v>
      </c>
    </row>
    <row r="256" spans="1:1" x14ac:dyDescent="0.25">
      <c r="A256">
        <v>1</v>
      </c>
    </row>
    <row r="257" spans="1:1" x14ac:dyDescent="0.25">
      <c r="A257">
        <v>1</v>
      </c>
    </row>
    <row r="258" spans="1:1" x14ac:dyDescent="0.25">
      <c r="A258">
        <v>1</v>
      </c>
    </row>
    <row r="259" spans="1:1" x14ac:dyDescent="0.25">
      <c r="A259">
        <v>1</v>
      </c>
    </row>
    <row r="260" spans="1:1" x14ac:dyDescent="0.25">
      <c r="A260">
        <v>1</v>
      </c>
    </row>
    <row r="261" spans="1:1" x14ac:dyDescent="0.25">
      <c r="A261">
        <v>1</v>
      </c>
    </row>
    <row r="262" spans="1:1" x14ac:dyDescent="0.25">
      <c r="A262">
        <v>1</v>
      </c>
    </row>
    <row r="263" spans="1:1" x14ac:dyDescent="0.25">
      <c r="A263">
        <v>1</v>
      </c>
    </row>
    <row r="264" spans="1:1" x14ac:dyDescent="0.25">
      <c r="A264">
        <v>1</v>
      </c>
    </row>
    <row r="265" spans="1:1" x14ac:dyDescent="0.25">
      <c r="A265">
        <v>1</v>
      </c>
    </row>
    <row r="266" spans="1:1" x14ac:dyDescent="0.25">
      <c r="A266">
        <v>1</v>
      </c>
    </row>
    <row r="267" spans="1:1" x14ac:dyDescent="0.25">
      <c r="A267">
        <v>1</v>
      </c>
    </row>
    <row r="268" spans="1:1" x14ac:dyDescent="0.25">
      <c r="A268">
        <v>1</v>
      </c>
    </row>
    <row r="269" spans="1:1" x14ac:dyDescent="0.25">
      <c r="A269">
        <v>1</v>
      </c>
    </row>
    <row r="273" spans="1:1" x14ac:dyDescent="0.25">
      <c r="A273" t="s">
        <v>99</v>
      </c>
    </row>
    <row r="274" spans="1:1" x14ac:dyDescent="0.25">
      <c r="A274">
        <v>1</v>
      </c>
    </row>
    <row r="275" spans="1:1" x14ac:dyDescent="0.25">
      <c r="A275">
        <v>1</v>
      </c>
    </row>
    <row r="276" spans="1:1" x14ac:dyDescent="0.25">
      <c r="A276">
        <v>1</v>
      </c>
    </row>
    <row r="277" spans="1:1" x14ac:dyDescent="0.25">
      <c r="A277">
        <v>0</v>
      </c>
    </row>
    <row r="278" spans="1:1" x14ac:dyDescent="0.25">
      <c r="A278">
        <v>0</v>
      </c>
    </row>
    <row r="279" spans="1:1" x14ac:dyDescent="0.25">
      <c r="A279">
        <v>1</v>
      </c>
    </row>
    <row r="280" spans="1:1" x14ac:dyDescent="0.25">
      <c r="A280">
        <v>0</v>
      </c>
    </row>
    <row r="281" spans="1:1" x14ac:dyDescent="0.25">
      <c r="A281">
        <v>0</v>
      </c>
    </row>
    <row r="282" spans="1:1" x14ac:dyDescent="0.25">
      <c r="A282">
        <v>1</v>
      </c>
    </row>
    <row r="283" spans="1:1" x14ac:dyDescent="0.25">
      <c r="A283">
        <v>1</v>
      </c>
    </row>
    <row r="284" spans="1:1" x14ac:dyDescent="0.25">
      <c r="A284">
        <v>1</v>
      </c>
    </row>
    <row r="285" spans="1:1" x14ac:dyDescent="0.25">
      <c r="A285">
        <v>1</v>
      </c>
    </row>
    <row r="286" spans="1:1" x14ac:dyDescent="0.25">
      <c r="A286">
        <v>0</v>
      </c>
    </row>
    <row r="287" spans="1:1" x14ac:dyDescent="0.25">
      <c r="A287">
        <v>0</v>
      </c>
    </row>
    <row r="288" spans="1:1" x14ac:dyDescent="0.25">
      <c r="A288">
        <v>1</v>
      </c>
    </row>
    <row r="289" spans="1:1" x14ac:dyDescent="0.25">
      <c r="A289">
        <v>1</v>
      </c>
    </row>
    <row r="290" spans="1:1" x14ac:dyDescent="0.25">
      <c r="A290">
        <v>0</v>
      </c>
    </row>
    <row r="291" spans="1:1" x14ac:dyDescent="0.25">
      <c r="A291">
        <v>1</v>
      </c>
    </row>
    <row r="292" spans="1:1" x14ac:dyDescent="0.25">
      <c r="A292">
        <v>1</v>
      </c>
    </row>
    <row r="293" spans="1:1" x14ac:dyDescent="0.25">
      <c r="A293">
        <v>0</v>
      </c>
    </row>
    <row r="294" spans="1:1" x14ac:dyDescent="0.25">
      <c r="A294">
        <v>1</v>
      </c>
    </row>
    <row r="295" spans="1:1" x14ac:dyDescent="0.25">
      <c r="A295">
        <v>1</v>
      </c>
    </row>
    <row r="296" spans="1:1" x14ac:dyDescent="0.25">
      <c r="A296">
        <v>1</v>
      </c>
    </row>
    <row r="297" spans="1:1" x14ac:dyDescent="0.25">
      <c r="A297">
        <v>1</v>
      </c>
    </row>
    <row r="298" spans="1:1" x14ac:dyDescent="0.25">
      <c r="A298">
        <v>1</v>
      </c>
    </row>
    <row r="299" spans="1:1" x14ac:dyDescent="0.25">
      <c r="A299">
        <v>0</v>
      </c>
    </row>
    <row r="300" spans="1:1" x14ac:dyDescent="0.25">
      <c r="A300">
        <v>0</v>
      </c>
    </row>
    <row r="301" spans="1:1" x14ac:dyDescent="0.25">
      <c r="A301">
        <v>1</v>
      </c>
    </row>
    <row r="302" spans="1:1" x14ac:dyDescent="0.25">
      <c r="A302">
        <v>0</v>
      </c>
    </row>
    <row r="303" spans="1:1" x14ac:dyDescent="0.25">
      <c r="A303">
        <v>0</v>
      </c>
    </row>
    <row r="304" spans="1:1" x14ac:dyDescent="0.25">
      <c r="A304">
        <v>0</v>
      </c>
    </row>
    <row r="305" spans="1:1" x14ac:dyDescent="0.25">
      <c r="A305">
        <v>0</v>
      </c>
    </row>
    <row r="306" spans="1:1" x14ac:dyDescent="0.25">
      <c r="A306">
        <v>1</v>
      </c>
    </row>
    <row r="307" spans="1:1" x14ac:dyDescent="0.25">
      <c r="A307">
        <v>0</v>
      </c>
    </row>
    <row r="308" spans="1:1" x14ac:dyDescent="0.25">
      <c r="A308">
        <v>1</v>
      </c>
    </row>
    <row r="309" spans="1:1" x14ac:dyDescent="0.25">
      <c r="A309">
        <v>0</v>
      </c>
    </row>
    <row r="310" spans="1:1" x14ac:dyDescent="0.25">
      <c r="A310">
        <v>0</v>
      </c>
    </row>
    <row r="311" spans="1:1" x14ac:dyDescent="0.25">
      <c r="A311">
        <v>0</v>
      </c>
    </row>
    <row r="312" spans="1:1" x14ac:dyDescent="0.25">
      <c r="A312">
        <v>0</v>
      </c>
    </row>
    <row r="313" spans="1:1" x14ac:dyDescent="0.25">
      <c r="A313">
        <v>1</v>
      </c>
    </row>
    <row r="314" spans="1:1" x14ac:dyDescent="0.25">
      <c r="A314">
        <v>1</v>
      </c>
    </row>
    <row r="315" spans="1:1" x14ac:dyDescent="0.25">
      <c r="A315">
        <v>1</v>
      </c>
    </row>
    <row r="316" spans="1:1" x14ac:dyDescent="0.25">
      <c r="A316">
        <v>0</v>
      </c>
    </row>
    <row r="317" spans="1:1" x14ac:dyDescent="0.25">
      <c r="A317">
        <v>1</v>
      </c>
    </row>
    <row r="318" spans="1:1" x14ac:dyDescent="0.25">
      <c r="A318">
        <v>0</v>
      </c>
    </row>
    <row r="319" spans="1:1" x14ac:dyDescent="0.25">
      <c r="A319">
        <v>1</v>
      </c>
    </row>
    <row r="320" spans="1:1" x14ac:dyDescent="0.25">
      <c r="A320">
        <v>1</v>
      </c>
    </row>
    <row r="321" spans="1:1" x14ac:dyDescent="0.25">
      <c r="A321">
        <v>1</v>
      </c>
    </row>
    <row r="322" spans="1:1" x14ac:dyDescent="0.25">
      <c r="A322">
        <v>1</v>
      </c>
    </row>
    <row r="323" spans="1:1" x14ac:dyDescent="0.25">
      <c r="A323">
        <v>0</v>
      </c>
    </row>
    <row r="324" spans="1:1" x14ac:dyDescent="0.25">
      <c r="A324">
        <v>1</v>
      </c>
    </row>
    <row r="325" spans="1:1" x14ac:dyDescent="0.25">
      <c r="A325">
        <v>1</v>
      </c>
    </row>
    <row r="326" spans="1:1" x14ac:dyDescent="0.25">
      <c r="A326">
        <v>1</v>
      </c>
    </row>
    <row r="327" spans="1:1" x14ac:dyDescent="0.25">
      <c r="A327">
        <v>1</v>
      </c>
    </row>
    <row r="328" spans="1:1" x14ac:dyDescent="0.25">
      <c r="A328">
        <v>0</v>
      </c>
    </row>
    <row r="329" spans="1:1" x14ac:dyDescent="0.25">
      <c r="A329">
        <v>1</v>
      </c>
    </row>
    <row r="330" spans="1:1" x14ac:dyDescent="0.25">
      <c r="A330">
        <v>1</v>
      </c>
    </row>
    <row r="331" spans="1:1" x14ac:dyDescent="0.25">
      <c r="A331">
        <v>0</v>
      </c>
    </row>
    <row r="332" spans="1:1" x14ac:dyDescent="0.25">
      <c r="A332">
        <v>0</v>
      </c>
    </row>
    <row r="333" spans="1:1" x14ac:dyDescent="0.25">
      <c r="A333">
        <v>1</v>
      </c>
    </row>
    <row r="334" spans="1:1" x14ac:dyDescent="0.25">
      <c r="A334">
        <v>0</v>
      </c>
    </row>
    <row r="335" spans="1:1" x14ac:dyDescent="0.25">
      <c r="A335">
        <v>1</v>
      </c>
    </row>
    <row r="336" spans="1:1" x14ac:dyDescent="0.25">
      <c r="A336">
        <v>0</v>
      </c>
    </row>
    <row r="337" spans="1:1" x14ac:dyDescent="0.25">
      <c r="A337">
        <v>0</v>
      </c>
    </row>
    <row r="338" spans="1:1" x14ac:dyDescent="0.25">
      <c r="A338">
        <v>1</v>
      </c>
    </row>
    <row r="339" spans="1:1" x14ac:dyDescent="0.25">
      <c r="A339">
        <v>0</v>
      </c>
    </row>
    <row r="340" spans="1:1" x14ac:dyDescent="0.25">
      <c r="A340">
        <v>1</v>
      </c>
    </row>
    <row r="341" spans="1:1" x14ac:dyDescent="0.25">
      <c r="A341">
        <v>1</v>
      </c>
    </row>
    <row r="342" spans="1:1" x14ac:dyDescent="0.25">
      <c r="A342">
        <v>1</v>
      </c>
    </row>
    <row r="343" spans="1:1" x14ac:dyDescent="0.25">
      <c r="A343">
        <v>0</v>
      </c>
    </row>
    <row r="344" spans="1:1" x14ac:dyDescent="0.25">
      <c r="A344">
        <v>1</v>
      </c>
    </row>
    <row r="345" spans="1:1" x14ac:dyDescent="0.25">
      <c r="A345">
        <v>1</v>
      </c>
    </row>
    <row r="346" spans="1:1" x14ac:dyDescent="0.25">
      <c r="A346">
        <v>0</v>
      </c>
    </row>
    <row r="347" spans="1:1" x14ac:dyDescent="0.25">
      <c r="A347">
        <v>0</v>
      </c>
    </row>
    <row r="348" spans="1:1" x14ac:dyDescent="0.25">
      <c r="A348">
        <v>1</v>
      </c>
    </row>
    <row r="349" spans="1:1" x14ac:dyDescent="0.25">
      <c r="A349">
        <v>0</v>
      </c>
    </row>
    <row r="350" spans="1:1" x14ac:dyDescent="0.25">
      <c r="A350">
        <v>1</v>
      </c>
    </row>
    <row r="351" spans="1:1" x14ac:dyDescent="0.25">
      <c r="A351">
        <v>1</v>
      </c>
    </row>
    <row r="352" spans="1:1" x14ac:dyDescent="0.25">
      <c r="A352">
        <v>0</v>
      </c>
    </row>
    <row r="353" spans="1:1" x14ac:dyDescent="0.25">
      <c r="A353">
        <v>1</v>
      </c>
    </row>
    <row r="354" spans="1:1" x14ac:dyDescent="0.25">
      <c r="A354">
        <v>1</v>
      </c>
    </row>
    <row r="355" spans="1:1" x14ac:dyDescent="0.25">
      <c r="A355">
        <v>0</v>
      </c>
    </row>
    <row r="356" spans="1:1" x14ac:dyDescent="0.25">
      <c r="A356">
        <v>1</v>
      </c>
    </row>
    <row r="357" spans="1:1" x14ac:dyDescent="0.25">
      <c r="A357">
        <v>1</v>
      </c>
    </row>
    <row r="358" spans="1:1" x14ac:dyDescent="0.25">
      <c r="A358">
        <v>0</v>
      </c>
    </row>
    <row r="359" spans="1:1" x14ac:dyDescent="0.25">
      <c r="A359">
        <v>0</v>
      </c>
    </row>
    <row r="360" spans="1:1" x14ac:dyDescent="0.25">
      <c r="A360">
        <v>0</v>
      </c>
    </row>
    <row r="361" spans="1:1" x14ac:dyDescent="0.25">
      <c r="A361">
        <v>0</v>
      </c>
    </row>
    <row r="362" spans="1:1" x14ac:dyDescent="0.25">
      <c r="A362">
        <v>0</v>
      </c>
    </row>
    <row r="363" spans="1:1" x14ac:dyDescent="0.25">
      <c r="A363">
        <v>0</v>
      </c>
    </row>
    <row r="364" spans="1:1" x14ac:dyDescent="0.25">
      <c r="A364">
        <v>0</v>
      </c>
    </row>
    <row r="365" spans="1:1" x14ac:dyDescent="0.25">
      <c r="A365">
        <v>1</v>
      </c>
    </row>
    <row r="366" spans="1:1" x14ac:dyDescent="0.25">
      <c r="A366">
        <v>1</v>
      </c>
    </row>
    <row r="367" spans="1:1" x14ac:dyDescent="0.25">
      <c r="A367">
        <v>1</v>
      </c>
    </row>
    <row r="368" spans="1:1" x14ac:dyDescent="0.25">
      <c r="A368">
        <v>1</v>
      </c>
    </row>
    <row r="369" spans="1:1" x14ac:dyDescent="0.25">
      <c r="A369">
        <v>1</v>
      </c>
    </row>
    <row r="370" spans="1:1" x14ac:dyDescent="0.25">
      <c r="A370">
        <v>0</v>
      </c>
    </row>
    <row r="371" spans="1:1" x14ac:dyDescent="0.25">
      <c r="A371">
        <v>0</v>
      </c>
    </row>
    <row r="372" spans="1:1" x14ac:dyDescent="0.25">
      <c r="A372">
        <v>0</v>
      </c>
    </row>
    <row r="373" spans="1:1" x14ac:dyDescent="0.25">
      <c r="A373">
        <v>1</v>
      </c>
    </row>
    <row r="374" spans="1:1" x14ac:dyDescent="0.25">
      <c r="A374">
        <v>1</v>
      </c>
    </row>
    <row r="375" spans="1:1" x14ac:dyDescent="0.25">
      <c r="A375">
        <v>0</v>
      </c>
    </row>
    <row r="376" spans="1:1" x14ac:dyDescent="0.25">
      <c r="A376">
        <v>0</v>
      </c>
    </row>
    <row r="377" spans="1:1" x14ac:dyDescent="0.25">
      <c r="A377">
        <v>0</v>
      </c>
    </row>
    <row r="378" spans="1:1" x14ac:dyDescent="0.25">
      <c r="A378">
        <v>1</v>
      </c>
    </row>
    <row r="379" spans="1:1" x14ac:dyDescent="0.25">
      <c r="A379">
        <v>0</v>
      </c>
    </row>
    <row r="380" spans="1:1" x14ac:dyDescent="0.25">
      <c r="A380">
        <v>0</v>
      </c>
    </row>
    <row r="381" spans="1:1" x14ac:dyDescent="0.25">
      <c r="A381">
        <v>0</v>
      </c>
    </row>
    <row r="382" spans="1:1" x14ac:dyDescent="0.25">
      <c r="A382">
        <v>0</v>
      </c>
    </row>
    <row r="383" spans="1:1" x14ac:dyDescent="0.25">
      <c r="A383">
        <v>1</v>
      </c>
    </row>
    <row r="384" spans="1:1" x14ac:dyDescent="0.25">
      <c r="A384">
        <v>0</v>
      </c>
    </row>
    <row r="385" spans="1:1" x14ac:dyDescent="0.25">
      <c r="A385">
        <v>1</v>
      </c>
    </row>
    <row r="386" spans="1:1" x14ac:dyDescent="0.25">
      <c r="A386">
        <v>0</v>
      </c>
    </row>
    <row r="387" spans="1:1" x14ac:dyDescent="0.25">
      <c r="A387">
        <v>0</v>
      </c>
    </row>
    <row r="388" spans="1:1" x14ac:dyDescent="0.25">
      <c r="A388">
        <v>0</v>
      </c>
    </row>
    <row r="389" spans="1:1" x14ac:dyDescent="0.25">
      <c r="A389">
        <v>1</v>
      </c>
    </row>
    <row r="390" spans="1:1" x14ac:dyDescent="0.25">
      <c r="A390">
        <v>0</v>
      </c>
    </row>
    <row r="391" spans="1:1" x14ac:dyDescent="0.25">
      <c r="A391">
        <v>0</v>
      </c>
    </row>
    <row r="392" spans="1:1" x14ac:dyDescent="0.25">
      <c r="A392">
        <v>1</v>
      </c>
    </row>
    <row r="393" spans="1:1" x14ac:dyDescent="0.25">
      <c r="A393">
        <v>0</v>
      </c>
    </row>
    <row r="394" spans="1:1" x14ac:dyDescent="0.25">
      <c r="A394">
        <v>1</v>
      </c>
    </row>
    <row r="395" spans="1:1" x14ac:dyDescent="0.25">
      <c r="A395">
        <v>1</v>
      </c>
    </row>
    <row r="396" spans="1:1" x14ac:dyDescent="0.25">
      <c r="A396">
        <v>0</v>
      </c>
    </row>
    <row r="397" spans="1:1" x14ac:dyDescent="0.25">
      <c r="A397">
        <v>1</v>
      </c>
    </row>
    <row r="398" spans="1:1" x14ac:dyDescent="0.25">
      <c r="A398">
        <v>1</v>
      </c>
    </row>
    <row r="399" spans="1:1" x14ac:dyDescent="0.25">
      <c r="A399">
        <v>0</v>
      </c>
    </row>
    <row r="400" spans="1:1" x14ac:dyDescent="0.25">
      <c r="A400">
        <v>0</v>
      </c>
    </row>
    <row r="401" spans="1:1" x14ac:dyDescent="0.25">
      <c r="A401">
        <v>0</v>
      </c>
    </row>
    <row r="402" spans="1:1" x14ac:dyDescent="0.25">
      <c r="A402">
        <v>0</v>
      </c>
    </row>
    <row r="403" spans="1:1" x14ac:dyDescent="0.25">
      <c r="A403">
        <v>0</v>
      </c>
    </row>
    <row r="408" spans="1:1" x14ac:dyDescent="0.25">
      <c r="A408" t="s">
        <v>151</v>
      </c>
    </row>
    <row r="409" spans="1:1" x14ac:dyDescent="0.25">
      <c r="A409">
        <v>1</v>
      </c>
    </row>
    <row r="410" spans="1:1" x14ac:dyDescent="0.25">
      <c r="A410">
        <v>1</v>
      </c>
    </row>
    <row r="411" spans="1:1" x14ac:dyDescent="0.25">
      <c r="A411">
        <v>0</v>
      </c>
    </row>
    <row r="412" spans="1:1" x14ac:dyDescent="0.25">
      <c r="A412">
        <v>0</v>
      </c>
    </row>
    <row r="413" spans="1:1" x14ac:dyDescent="0.25">
      <c r="A413">
        <v>1</v>
      </c>
    </row>
    <row r="414" spans="1:1" x14ac:dyDescent="0.25">
      <c r="A414">
        <v>0</v>
      </c>
    </row>
    <row r="415" spans="1:1" x14ac:dyDescent="0.25">
      <c r="A415">
        <v>1</v>
      </c>
    </row>
    <row r="416" spans="1:1" x14ac:dyDescent="0.25">
      <c r="A416">
        <v>1</v>
      </c>
    </row>
    <row r="417" spans="1:1" x14ac:dyDescent="0.25">
      <c r="A417">
        <v>0</v>
      </c>
    </row>
    <row r="418" spans="1:1" x14ac:dyDescent="0.25">
      <c r="A418">
        <v>0</v>
      </c>
    </row>
    <row r="419" spans="1:1" x14ac:dyDescent="0.25">
      <c r="A419">
        <v>1</v>
      </c>
    </row>
    <row r="420" spans="1:1" x14ac:dyDescent="0.25">
      <c r="A420">
        <v>0</v>
      </c>
    </row>
    <row r="421" spans="1:1" x14ac:dyDescent="0.25">
      <c r="A421">
        <v>1</v>
      </c>
    </row>
    <row r="422" spans="1:1" x14ac:dyDescent="0.25">
      <c r="A422">
        <v>1</v>
      </c>
    </row>
    <row r="423" spans="1:1" x14ac:dyDescent="0.25">
      <c r="A423">
        <v>1</v>
      </c>
    </row>
    <row r="424" spans="1:1" x14ac:dyDescent="0.25">
      <c r="A424">
        <v>0</v>
      </c>
    </row>
    <row r="425" spans="1:1" x14ac:dyDescent="0.25">
      <c r="A425">
        <v>1</v>
      </c>
    </row>
    <row r="426" spans="1:1" x14ac:dyDescent="0.25">
      <c r="A426">
        <v>1</v>
      </c>
    </row>
    <row r="427" spans="1:1" x14ac:dyDescent="0.25">
      <c r="A427">
        <v>0</v>
      </c>
    </row>
    <row r="428" spans="1:1" x14ac:dyDescent="0.25">
      <c r="A428">
        <v>1</v>
      </c>
    </row>
    <row r="429" spans="1:1" x14ac:dyDescent="0.25">
      <c r="A429">
        <v>1</v>
      </c>
    </row>
    <row r="430" spans="1:1" x14ac:dyDescent="0.25">
      <c r="A430">
        <v>0</v>
      </c>
    </row>
    <row r="431" spans="1:1" x14ac:dyDescent="0.25">
      <c r="A431">
        <v>1</v>
      </c>
    </row>
    <row r="432" spans="1:1" x14ac:dyDescent="0.25">
      <c r="A432">
        <v>0</v>
      </c>
    </row>
    <row r="433" spans="1:1" x14ac:dyDescent="0.25">
      <c r="A433">
        <v>0</v>
      </c>
    </row>
    <row r="434" spans="1:1" x14ac:dyDescent="0.25">
      <c r="A434">
        <v>0</v>
      </c>
    </row>
    <row r="435" spans="1:1" x14ac:dyDescent="0.25">
      <c r="A435">
        <v>1</v>
      </c>
    </row>
    <row r="436" spans="1:1" x14ac:dyDescent="0.25">
      <c r="A436">
        <v>1</v>
      </c>
    </row>
    <row r="437" spans="1:1" x14ac:dyDescent="0.25">
      <c r="A437">
        <v>0</v>
      </c>
    </row>
    <row r="438" spans="1:1" x14ac:dyDescent="0.25">
      <c r="A438">
        <v>1</v>
      </c>
    </row>
    <row r="439" spans="1:1" x14ac:dyDescent="0.25">
      <c r="A439">
        <v>0</v>
      </c>
    </row>
    <row r="440" spans="1:1" x14ac:dyDescent="0.25">
      <c r="A440">
        <v>0</v>
      </c>
    </row>
    <row r="441" spans="1:1" x14ac:dyDescent="0.25">
      <c r="A441">
        <v>0</v>
      </c>
    </row>
    <row r="442" spans="1:1" x14ac:dyDescent="0.25">
      <c r="A442">
        <v>1</v>
      </c>
    </row>
    <row r="443" spans="1:1" x14ac:dyDescent="0.25">
      <c r="A443">
        <v>1</v>
      </c>
    </row>
    <row r="444" spans="1:1" x14ac:dyDescent="0.25">
      <c r="A444">
        <v>0</v>
      </c>
    </row>
    <row r="445" spans="1:1" x14ac:dyDescent="0.25">
      <c r="A445">
        <v>0</v>
      </c>
    </row>
    <row r="446" spans="1:1" x14ac:dyDescent="0.25">
      <c r="A446">
        <v>1</v>
      </c>
    </row>
    <row r="447" spans="1:1" x14ac:dyDescent="0.25">
      <c r="A447">
        <v>1</v>
      </c>
    </row>
    <row r="448" spans="1:1" x14ac:dyDescent="0.25">
      <c r="A448">
        <v>0</v>
      </c>
    </row>
    <row r="449" spans="1:1" x14ac:dyDescent="0.25">
      <c r="A449">
        <v>1</v>
      </c>
    </row>
    <row r="450" spans="1:1" x14ac:dyDescent="0.25">
      <c r="A450">
        <v>0</v>
      </c>
    </row>
    <row r="451" spans="1:1" x14ac:dyDescent="0.25">
      <c r="A451">
        <v>0</v>
      </c>
    </row>
    <row r="452" spans="1:1" x14ac:dyDescent="0.25">
      <c r="A452">
        <v>1</v>
      </c>
    </row>
    <row r="453" spans="1:1" x14ac:dyDescent="0.25">
      <c r="A453">
        <v>0</v>
      </c>
    </row>
    <row r="454" spans="1:1" x14ac:dyDescent="0.25">
      <c r="A454">
        <v>1</v>
      </c>
    </row>
    <row r="455" spans="1:1" x14ac:dyDescent="0.25">
      <c r="A455">
        <v>1</v>
      </c>
    </row>
    <row r="456" spans="1:1" x14ac:dyDescent="0.25">
      <c r="A456">
        <v>1</v>
      </c>
    </row>
    <row r="457" spans="1:1" x14ac:dyDescent="0.25">
      <c r="A457">
        <v>1</v>
      </c>
    </row>
    <row r="458" spans="1:1" x14ac:dyDescent="0.25">
      <c r="A458">
        <v>1</v>
      </c>
    </row>
    <row r="459" spans="1:1" x14ac:dyDescent="0.25">
      <c r="A459">
        <v>1</v>
      </c>
    </row>
    <row r="460" spans="1:1" x14ac:dyDescent="0.25">
      <c r="A460">
        <v>0</v>
      </c>
    </row>
    <row r="461" spans="1:1" x14ac:dyDescent="0.25">
      <c r="A461">
        <v>1</v>
      </c>
    </row>
    <row r="462" spans="1:1" x14ac:dyDescent="0.25">
      <c r="A462">
        <v>1</v>
      </c>
    </row>
    <row r="463" spans="1:1" x14ac:dyDescent="0.25">
      <c r="A463">
        <v>1</v>
      </c>
    </row>
    <row r="464" spans="1:1" x14ac:dyDescent="0.25">
      <c r="A464">
        <v>1</v>
      </c>
    </row>
    <row r="465" spans="1:1" x14ac:dyDescent="0.25">
      <c r="A465">
        <v>0</v>
      </c>
    </row>
    <row r="466" spans="1:1" x14ac:dyDescent="0.25">
      <c r="A466">
        <v>0</v>
      </c>
    </row>
    <row r="467" spans="1:1" x14ac:dyDescent="0.25">
      <c r="A467">
        <v>1</v>
      </c>
    </row>
    <row r="468" spans="1:1" x14ac:dyDescent="0.25">
      <c r="A468">
        <v>0</v>
      </c>
    </row>
    <row r="469" spans="1:1" x14ac:dyDescent="0.25">
      <c r="A469">
        <v>1</v>
      </c>
    </row>
    <row r="470" spans="1:1" x14ac:dyDescent="0.25">
      <c r="A470">
        <v>0</v>
      </c>
    </row>
    <row r="471" spans="1:1" x14ac:dyDescent="0.25">
      <c r="A471">
        <v>0</v>
      </c>
    </row>
    <row r="472" spans="1:1" x14ac:dyDescent="0.25">
      <c r="A472">
        <v>0</v>
      </c>
    </row>
    <row r="473" spans="1:1" x14ac:dyDescent="0.25">
      <c r="A473">
        <v>1</v>
      </c>
    </row>
    <row r="474" spans="1:1" x14ac:dyDescent="0.25">
      <c r="A474">
        <v>1</v>
      </c>
    </row>
    <row r="475" spans="1:1" x14ac:dyDescent="0.25">
      <c r="A475">
        <v>0</v>
      </c>
    </row>
    <row r="476" spans="1:1" x14ac:dyDescent="0.25">
      <c r="A476">
        <v>1</v>
      </c>
    </row>
    <row r="477" spans="1:1" x14ac:dyDescent="0.25">
      <c r="A477">
        <v>0</v>
      </c>
    </row>
    <row r="478" spans="1:1" x14ac:dyDescent="0.25">
      <c r="A478">
        <v>1</v>
      </c>
    </row>
    <row r="479" spans="1:1" x14ac:dyDescent="0.25">
      <c r="A479">
        <v>0</v>
      </c>
    </row>
    <row r="480" spans="1:1" x14ac:dyDescent="0.25">
      <c r="A480">
        <v>0</v>
      </c>
    </row>
    <row r="481" spans="1:1" x14ac:dyDescent="0.25">
      <c r="A481">
        <v>0</v>
      </c>
    </row>
    <row r="482" spans="1:1" x14ac:dyDescent="0.25">
      <c r="A482">
        <v>0</v>
      </c>
    </row>
    <row r="483" spans="1:1" x14ac:dyDescent="0.25">
      <c r="A483">
        <v>1</v>
      </c>
    </row>
    <row r="484" spans="1:1" x14ac:dyDescent="0.25">
      <c r="A484">
        <v>1</v>
      </c>
    </row>
    <row r="485" spans="1:1" x14ac:dyDescent="0.25">
      <c r="A485">
        <v>0</v>
      </c>
    </row>
    <row r="486" spans="1:1" x14ac:dyDescent="0.25">
      <c r="A486">
        <v>0</v>
      </c>
    </row>
    <row r="487" spans="1:1" x14ac:dyDescent="0.25">
      <c r="A487">
        <v>1</v>
      </c>
    </row>
    <row r="488" spans="1:1" x14ac:dyDescent="0.25">
      <c r="A488">
        <v>1</v>
      </c>
    </row>
    <row r="489" spans="1:1" x14ac:dyDescent="0.25">
      <c r="A489">
        <v>0</v>
      </c>
    </row>
    <row r="490" spans="1:1" x14ac:dyDescent="0.25">
      <c r="A490">
        <v>1</v>
      </c>
    </row>
    <row r="491" spans="1:1" x14ac:dyDescent="0.25">
      <c r="A491">
        <v>1</v>
      </c>
    </row>
    <row r="492" spans="1:1" x14ac:dyDescent="0.25">
      <c r="A492">
        <v>1</v>
      </c>
    </row>
    <row r="493" spans="1:1" x14ac:dyDescent="0.25">
      <c r="A493">
        <v>1</v>
      </c>
    </row>
    <row r="494" spans="1:1" x14ac:dyDescent="0.25">
      <c r="A494">
        <v>0</v>
      </c>
    </row>
    <row r="495" spans="1:1" x14ac:dyDescent="0.25">
      <c r="A495">
        <v>1</v>
      </c>
    </row>
    <row r="496" spans="1:1" x14ac:dyDescent="0.25">
      <c r="A496">
        <v>0</v>
      </c>
    </row>
    <row r="497" spans="1:1" x14ac:dyDescent="0.25">
      <c r="A497">
        <v>1</v>
      </c>
    </row>
    <row r="498" spans="1:1" x14ac:dyDescent="0.25">
      <c r="A498">
        <v>1</v>
      </c>
    </row>
    <row r="499" spans="1:1" x14ac:dyDescent="0.25">
      <c r="A499">
        <v>1</v>
      </c>
    </row>
    <row r="500" spans="1:1" x14ac:dyDescent="0.25">
      <c r="A500">
        <v>1</v>
      </c>
    </row>
    <row r="501" spans="1:1" x14ac:dyDescent="0.25">
      <c r="A501">
        <v>1</v>
      </c>
    </row>
    <row r="502" spans="1:1" x14ac:dyDescent="0.25">
      <c r="A502">
        <v>1</v>
      </c>
    </row>
    <row r="503" spans="1:1" x14ac:dyDescent="0.25">
      <c r="A503">
        <v>0</v>
      </c>
    </row>
    <row r="504" spans="1:1" x14ac:dyDescent="0.25">
      <c r="A504">
        <v>1</v>
      </c>
    </row>
    <row r="505" spans="1:1" x14ac:dyDescent="0.25">
      <c r="A505">
        <v>0</v>
      </c>
    </row>
    <row r="506" spans="1:1" x14ac:dyDescent="0.25">
      <c r="A506">
        <v>1</v>
      </c>
    </row>
    <row r="507" spans="1:1" x14ac:dyDescent="0.25">
      <c r="A507">
        <v>1</v>
      </c>
    </row>
    <row r="508" spans="1:1" x14ac:dyDescent="0.25">
      <c r="A508">
        <v>0</v>
      </c>
    </row>
    <row r="509" spans="1:1" x14ac:dyDescent="0.25">
      <c r="A509">
        <v>0</v>
      </c>
    </row>
    <row r="510" spans="1:1" x14ac:dyDescent="0.25">
      <c r="A510">
        <v>1</v>
      </c>
    </row>
    <row r="511" spans="1:1" x14ac:dyDescent="0.25">
      <c r="A511">
        <v>0</v>
      </c>
    </row>
    <row r="512" spans="1:1" x14ac:dyDescent="0.25">
      <c r="A512">
        <v>1</v>
      </c>
    </row>
    <row r="513" spans="1:1" x14ac:dyDescent="0.25">
      <c r="A513">
        <v>1</v>
      </c>
    </row>
    <row r="514" spans="1:1" x14ac:dyDescent="0.25">
      <c r="A514">
        <v>0</v>
      </c>
    </row>
    <row r="515" spans="1:1" x14ac:dyDescent="0.25">
      <c r="A515">
        <v>0</v>
      </c>
    </row>
    <row r="516" spans="1:1" x14ac:dyDescent="0.25">
      <c r="A516">
        <v>0</v>
      </c>
    </row>
    <row r="517" spans="1:1" x14ac:dyDescent="0.25">
      <c r="A517">
        <v>0</v>
      </c>
    </row>
    <row r="518" spans="1:1" x14ac:dyDescent="0.25">
      <c r="A518">
        <v>1</v>
      </c>
    </row>
    <row r="519" spans="1:1" x14ac:dyDescent="0.25">
      <c r="A519">
        <v>1</v>
      </c>
    </row>
    <row r="520" spans="1:1" x14ac:dyDescent="0.25">
      <c r="A520">
        <v>0</v>
      </c>
    </row>
    <row r="521" spans="1:1" x14ac:dyDescent="0.25">
      <c r="A521">
        <v>0</v>
      </c>
    </row>
    <row r="522" spans="1:1" x14ac:dyDescent="0.25">
      <c r="A522">
        <v>1</v>
      </c>
    </row>
    <row r="523" spans="1:1" x14ac:dyDescent="0.25">
      <c r="A523">
        <v>1</v>
      </c>
    </row>
    <row r="524" spans="1:1" x14ac:dyDescent="0.25">
      <c r="A524">
        <v>0</v>
      </c>
    </row>
    <row r="525" spans="1:1" x14ac:dyDescent="0.25">
      <c r="A525">
        <v>0</v>
      </c>
    </row>
    <row r="526" spans="1:1" x14ac:dyDescent="0.25">
      <c r="A526">
        <v>0</v>
      </c>
    </row>
    <row r="527" spans="1:1" x14ac:dyDescent="0.25">
      <c r="A527">
        <v>0</v>
      </c>
    </row>
    <row r="528" spans="1:1" x14ac:dyDescent="0.25">
      <c r="A528">
        <v>1</v>
      </c>
    </row>
    <row r="529" spans="1:1" x14ac:dyDescent="0.25">
      <c r="A529">
        <v>0</v>
      </c>
    </row>
    <row r="530" spans="1:1" x14ac:dyDescent="0.25">
      <c r="A530">
        <v>0</v>
      </c>
    </row>
    <row r="531" spans="1:1" x14ac:dyDescent="0.25">
      <c r="A531">
        <v>0</v>
      </c>
    </row>
    <row r="532" spans="1:1" x14ac:dyDescent="0.25">
      <c r="A532">
        <v>0</v>
      </c>
    </row>
    <row r="533" spans="1:1" x14ac:dyDescent="0.25">
      <c r="A533">
        <v>1</v>
      </c>
    </row>
    <row r="534" spans="1:1" x14ac:dyDescent="0.25">
      <c r="A534">
        <v>1</v>
      </c>
    </row>
    <row r="535" spans="1:1" x14ac:dyDescent="0.25">
      <c r="A535">
        <v>0</v>
      </c>
    </row>
    <row r="536" spans="1:1" x14ac:dyDescent="0.25">
      <c r="A536">
        <v>0</v>
      </c>
    </row>
    <row r="537" spans="1:1" x14ac:dyDescent="0.25">
      <c r="A537">
        <v>0</v>
      </c>
    </row>
    <row r="538" spans="1:1" x14ac:dyDescent="0.25">
      <c r="A538">
        <v>1</v>
      </c>
    </row>
    <row r="543" spans="1:1" x14ac:dyDescent="0.25">
      <c r="A543" t="s">
        <v>20</v>
      </c>
    </row>
    <row r="544" spans="1:1" x14ac:dyDescent="0.25">
      <c r="A544">
        <v>1</v>
      </c>
    </row>
    <row r="545" spans="1:1" x14ac:dyDescent="0.25">
      <c r="A545">
        <v>0</v>
      </c>
    </row>
    <row r="546" spans="1:1" x14ac:dyDescent="0.25">
      <c r="A546">
        <v>1</v>
      </c>
    </row>
    <row r="547" spans="1:1" x14ac:dyDescent="0.25">
      <c r="A547">
        <v>1</v>
      </c>
    </row>
    <row r="548" spans="1:1" x14ac:dyDescent="0.25">
      <c r="A548">
        <v>1</v>
      </c>
    </row>
    <row r="549" spans="1:1" x14ac:dyDescent="0.25">
      <c r="A549">
        <v>1</v>
      </c>
    </row>
    <row r="550" spans="1:1" x14ac:dyDescent="0.25">
      <c r="A550">
        <v>1</v>
      </c>
    </row>
    <row r="551" spans="1:1" x14ac:dyDescent="0.25">
      <c r="A551">
        <v>0</v>
      </c>
    </row>
    <row r="552" spans="1:1" x14ac:dyDescent="0.25">
      <c r="A552">
        <v>0</v>
      </c>
    </row>
    <row r="553" spans="1:1" x14ac:dyDescent="0.25">
      <c r="A553">
        <v>1</v>
      </c>
    </row>
    <row r="554" spans="1:1" x14ac:dyDescent="0.25">
      <c r="A554">
        <v>1</v>
      </c>
    </row>
    <row r="555" spans="1:1" x14ac:dyDescent="0.25">
      <c r="A555">
        <v>0</v>
      </c>
    </row>
    <row r="556" spans="1:1" x14ac:dyDescent="0.25">
      <c r="A556">
        <v>0</v>
      </c>
    </row>
    <row r="557" spans="1:1" x14ac:dyDescent="0.25">
      <c r="A557">
        <v>1</v>
      </c>
    </row>
    <row r="558" spans="1:1" x14ac:dyDescent="0.25">
      <c r="A558">
        <v>1</v>
      </c>
    </row>
    <row r="559" spans="1:1" x14ac:dyDescent="0.25">
      <c r="A559">
        <v>0</v>
      </c>
    </row>
    <row r="560" spans="1:1" x14ac:dyDescent="0.25">
      <c r="A560">
        <v>1</v>
      </c>
    </row>
    <row r="561" spans="1:1" x14ac:dyDescent="0.25">
      <c r="A561">
        <v>0</v>
      </c>
    </row>
    <row r="562" spans="1:1" x14ac:dyDescent="0.25">
      <c r="A562">
        <v>1</v>
      </c>
    </row>
    <row r="563" spans="1:1" x14ac:dyDescent="0.25">
      <c r="A563">
        <v>1</v>
      </c>
    </row>
    <row r="564" spans="1:1" x14ac:dyDescent="0.25">
      <c r="A564">
        <v>0</v>
      </c>
    </row>
    <row r="565" spans="1:1" x14ac:dyDescent="0.25">
      <c r="A565">
        <v>0</v>
      </c>
    </row>
    <row r="566" spans="1:1" x14ac:dyDescent="0.25">
      <c r="A566">
        <v>1</v>
      </c>
    </row>
    <row r="567" spans="1:1" x14ac:dyDescent="0.25">
      <c r="A567">
        <v>1</v>
      </c>
    </row>
    <row r="568" spans="1:1" x14ac:dyDescent="0.25">
      <c r="A568">
        <v>1</v>
      </c>
    </row>
    <row r="569" spans="1:1" x14ac:dyDescent="0.25">
      <c r="A569">
        <v>0</v>
      </c>
    </row>
    <row r="570" spans="1:1" x14ac:dyDescent="0.25">
      <c r="A570">
        <v>1</v>
      </c>
    </row>
    <row r="571" spans="1:1" x14ac:dyDescent="0.25">
      <c r="A571">
        <v>0</v>
      </c>
    </row>
    <row r="572" spans="1:1" x14ac:dyDescent="0.25">
      <c r="A572">
        <v>0</v>
      </c>
    </row>
    <row r="573" spans="1:1" x14ac:dyDescent="0.25">
      <c r="A573">
        <v>1</v>
      </c>
    </row>
    <row r="574" spans="1:1" x14ac:dyDescent="0.25">
      <c r="A574">
        <v>0</v>
      </c>
    </row>
    <row r="575" spans="1:1" x14ac:dyDescent="0.25">
      <c r="A575">
        <v>1</v>
      </c>
    </row>
    <row r="576" spans="1:1" x14ac:dyDescent="0.25">
      <c r="A576">
        <v>0</v>
      </c>
    </row>
    <row r="577" spans="1:1" x14ac:dyDescent="0.25">
      <c r="A577">
        <v>1</v>
      </c>
    </row>
    <row r="578" spans="1:1" x14ac:dyDescent="0.25">
      <c r="A578">
        <v>0</v>
      </c>
    </row>
    <row r="579" spans="1:1" x14ac:dyDescent="0.25">
      <c r="A579">
        <v>1</v>
      </c>
    </row>
    <row r="580" spans="1:1" x14ac:dyDescent="0.25">
      <c r="A580">
        <v>0</v>
      </c>
    </row>
    <row r="581" spans="1:1" x14ac:dyDescent="0.25">
      <c r="A581">
        <v>0</v>
      </c>
    </row>
    <row r="582" spans="1:1" x14ac:dyDescent="0.25">
      <c r="A582">
        <v>0</v>
      </c>
    </row>
    <row r="583" spans="1:1" x14ac:dyDescent="0.25">
      <c r="A583">
        <v>1</v>
      </c>
    </row>
    <row r="584" spans="1:1" x14ac:dyDescent="0.25">
      <c r="A584">
        <v>1</v>
      </c>
    </row>
    <row r="585" spans="1:1" x14ac:dyDescent="0.25">
      <c r="A585">
        <v>1</v>
      </c>
    </row>
    <row r="586" spans="1:1" x14ac:dyDescent="0.25">
      <c r="A586">
        <v>0</v>
      </c>
    </row>
    <row r="587" spans="1:1" x14ac:dyDescent="0.25">
      <c r="A587">
        <v>1</v>
      </c>
    </row>
    <row r="588" spans="1:1" x14ac:dyDescent="0.25">
      <c r="A588">
        <v>1</v>
      </c>
    </row>
    <row r="589" spans="1:1" x14ac:dyDescent="0.25">
      <c r="A589">
        <v>0</v>
      </c>
    </row>
    <row r="590" spans="1:1" x14ac:dyDescent="0.25">
      <c r="A590">
        <v>0</v>
      </c>
    </row>
    <row r="591" spans="1:1" x14ac:dyDescent="0.25">
      <c r="A591">
        <v>1</v>
      </c>
    </row>
    <row r="592" spans="1:1" x14ac:dyDescent="0.25">
      <c r="A592">
        <v>1</v>
      </c>
    </row>
    <row r="593" spans="1:1" x14ac:dyDescent="0.25">
      <c r="A593">
        <v>1</v>
      </c>
    </row>
    <row r="594" spans="1:1" x14ac:dyDescent="0.25">
      <c r="A594">
        <v>1</v>
      </c>
    </row>
    <row r="595" spans="1:1" x14ac:dyDescent="0.25">
      <c r="A595">
        <v>1</v>
      </c>
    </row>
    <row r="596" spans="1:1" x14ac:dyDescent="0.25">
      <c r="A596">
        <v>1</v>
      </c>
    </row>
    <row r="597" spans="1:1" x14ac:dyDescent="0.25">
      <c r="A597">
        <v>1</v>
      </c>
    </row>
    <row r="598" spans="1:1" x14ac:dyDescent="0.25">
      <c r="A598">
        <v>1</v>
      </c>
    </row>
    <row r="599" spans="1:1" x14ac:dyDescent="0.25">
      <c r="A599">
        <v>0</v>
      </c>
    </row>
    <row r="600" spans="1:1" x14ac:dyDescent="0.25">
      <c r="A600">
        <v>0</v>
      </c>
    </row>
    <row r="601" spans="1:1" x14ac:dyDescent="0.25">
      <c r="A601">
        <v>1</v>
      </c>
    </row>
    <row r="602" spans="1:1" x14ac:dyDescent="0.25">
      <c r="A602">
        <v>0</v>
      </c>
    </row>
    <row r="603" spans="1:1" x14ac:dyDescent="0.25">
      <c r="A603">
        <v>0</v>
      </c>
    </row>
    <row r="604" spans="1:1" x14ac:dyDescent="0.25">
      <c r="A604">
        <v>1</v>
      </c>
    </row>
    <row r="605" spans="1:1" x14ac:dyDescent="0.25">
      <c r="A605">
        <v>0</v>
      </c>
    </row>
    <row r="606" spans="1:1" x14ac:dyDescent="0.25">
      <c r="A606">
        <v>1</v>
      </c>
    </row>
    <row r="607" spans="1:1" x14ac:dyDescent="0.25">
      <c r="A607">
        <v>0</v>
      </c>
    </row>
    <row r="608" spans="1:1" x14ac:dyDescent="0.25">
      <c r="A608">
        <v>0</v>
      </c>
    </row>
    <row r="609" spans="1:1" x14ac:dyDescent="0.25">
      <c r="A609">
        <v>0</v>
      </c>
    </row>
    <row r="610" spans="1:1" x14ac:dyDescent="0.25">
      <c r="A610">
        <v>1</v>
      </c>
    </row>
    <row r="611" spans="1:1" x14ac:dyDescent="0.25">
      <c r="A611">
        <v>1</v>
      </c>
    </row>
    <row r="612" spans="1:1" x14ac:dyDescent="0.25">
      <c r="A612">
        <v>0</v>
      </c>
    </row>
    <row r="613" spans="1:1" x14ac:dyDescent="0.25">
      <c r="A613">
        <v>0</v>
      </c>
    </row>
    <row r="614" spans="1:1" x14ac:dyDescent="0.25">
      <c r="A614">
        <v>1</v>
      </c>
    </row>
    <row r="615" spans="1:1" x14ac:dyDescent="0.25">
      <c r="A615">
        <v>0</v>
      </c>
    </row>
    <row r="616" spans="1:1" x14ac:dyDescent="0.25">
      <c r="A616">
        <v>1</v>
      </c>
    </row>
    <row r="617" spans="1:1" x14ac:dyDescent="0.25">
      <c r="A617">
        <v>1</v>
      </c>
    </row>
    <row r="618" spans="1:1" x14ac:dyDescent="0.25">
      <c r="A618">
        <v>0</v>
      </c>
    </row>
    <row r="619" spans="1:1" x14ac:dyDescent="0.25">
      <c r="A619">
        <v>1</v>
      </c>
    </row>
    <row r="620" spans="1:1" x14ac:dyDescent="0.25">
      <c r="A620">
        <v>1</v>
      </c>
    </row>
    <row r="621" spans="1:1" x14ac:dyDescent="0.25">
      <c r="A621">
        <v>0</v>
      </c>
    </row>
    <row r="622" spans="1:1" x14ac:dyDescent="0.25">
      <c r="A622">
        <v>0</v>
      </c>
    </row>
    <row r="623" spans="1:1" x14ac:dyDescent="0.25">
      <c r="A623">
        <v>1</v>
      </c>
    </row>
    <row r="624" spans="1:1" x14ac:dyDescent="0.25">
      <c r="A624">
        <v>0</v>
      </c>
    </row>
    <row r="625" spans="1:1" x14ac:dyDescent="0.25">
      <c r="A625">
        <v>0</v>
      </c>
    </row>
    <row r="626" spans="1:1" x14ac:dyDescent="0.25">
      <c r="A626">
        <v>0</v>
      </c>
    </row>
    <row r="627" spans="1:1" x14ac:dyDescent="0.25">
      <c r="A627">
        <v>1</v>
      </c>
    </row>
    <row r="628" spans="1:1" x14ac:dyDescent="0.25">
      <c r="A628">
        <v>1</v>
      </c>
    </row>
    <row r="629" spans="1:1" x14ac:dyDescent="0.25">
      <c r="A629">
        <v>1</v>
      </c>
    </row>
    <row r="630" spans="1:1" x14ac:dyDescent="0.25">
      <c r="A630">
        <v>1</v>
      </c>
    </row>
    <row r="631" spans="1:1" x14ac:dyDescent="0.25">
      <c r="A631">
        <v>1</v>
      </c>
    </row>
    <row r="632" spans="1:1" x14ac:dyDescent="0.25">
      <c r="A632">
        <v>0</v>
      </c>
    </row>
    <row r="633" spans="1:1" x14ac:dyDescent="0.25">
      <c r="A633">
        <v>0</v>
      </c>
    </row>
    <row r="634" spans="1:1" x14ac:dyDescent="0.25">
      <c r="A634">
        <v>1</v>
      </c>
    </row>
    <row r="635" spans="1:1" x14ac:dyDescent="0.25">
      <c r="A635">
        <v>0</v>
      </c>
    </row>
    <row r="636" spans="1:1" x14ac:dyDescent="0.25">
      <c r="A636">
        <v>1</v>
      </c>
    </row>
    <row r="637" spans="1:1" x14ac:dyDescent="0.25">
      <c r="A637">
        <v>0</v>
      </c>
    </row>
    <row r="638" spans="1:1" x14ac:dyDescent="0.25">
      <c r="A638">
        <v>1</v>
      </c>
    </row>
    <row r="639" spans="1:1" x14ac:dyDescent="0.25">
      <c r="A639">
        <v>1</v>
      </c>
    </row>
    <row r="640" spans="1:1" x14ac:dyDescent="0.25">
      <c r="A640">
        <v>0</v>
      </c>
    </row>
    <row r="641" spans="1:1" x14ac:dyDescent="0.25">
      <c r="A641">
        <v>1</v>
      </c>
    </row>
    <row r="642" spans="1:1" x14ac:dyDescent="0.25">
      <c r="A642">
        <v>0</v>
      </c>
    </row>
    <row r="643" spans="1:1" x14ac:dyDescent="0.25">
      <c r="A643">
        <v>0</v>
      </c>
    </row>
    <row r="644" spans="1:1" x14ac:dyDescent="0.25">
      <c r="A644">
        <v>1</v>
      </c>
    </row>
    <row r="645" spans="1:1" x14ac:dyDescent="0.25">
      <c r="A645">
        <v>0</v>
      </c>
    </row>
    <row r="646" spans="1:1" x14ac:dyDescent="0.25">
      <c r="A646">
        <v>1</v>
      </c>
    </row>
    <row r="647" spans="1:1" x14ac:dyDescent="0.25">
      <c r="A647">
        <v>1</v>
      </c>
    </row>
    <row r="648" spans="1:1" x14ac:dyDescent="0.25">
      <c r="A648">
        <v>1</v>
      </c>
    </row>
    <row r="649" spans="1:1" x14ac:dyDescent="0.25">
      <c r="A649">
        <v>1</v>
      </c>
    </row>
    <row r="650" spans="1:1" x14ac:dyDescent="0.25">
      <c r="A650">
        <v>0</v>
      </c>
    </row>
    <row r="651" spans="1:1" x14ac:dyDescent="0.25">
      <c r="A651">
        <v>1</v>
      </c>
    </row>
    <row r="652" spans="1:1" x14ac:dyDescent="0.25">
      <c r="A652">
        <v>0</v>
      </c>
    </row>
    <row r="653" spans="1:1" x14ac:dyDescent="0.25">
      <c r="A653">
        <v>0</v>
      </c>
    </row>
    <row r="654" spans="1:1" x14ac:dyDescent="0.25">
      <c r="A654">
        <v>1</v>
      </c>
    </row>
    <row r="655" spans="1:1" x14ac:dyDescent="0.25">
      <c r="A655">
        <v>0</v>
      </c>
    </row>
    <row r="656" spans="1:1" x14ac:dyDescent="0.25">
      <c r="A656">
        <v>0</v>
      </c>
    </row>
    <row r="657" spans="1:1" x14ac:dyDescent="0.25">
      <c r="A657">
        <v>0</v>
      </c>
    </row>
    <row r="658" spans="1:1" x14ac:dyDescent="0.25">
      <c r="A658">
        <v>1</v>
      </c>
    </row>
    <row r="659" spans="1:1" x14ac:dyDescent="0.25">
      <c r="A659">
        <v>0</v>
      </c>
    </row>
    <row r="660" spans="1:1" x14ac:dyDescent="0.25">
      <c r="A660">
        <v>0</v>
      </c>
    </row>
    <row r="661" spans="1:1" x14ac:dyDescent="0.25">
      <c r="A661">
        <v>1</v>
      </c>
    </row>
    <row r="662" spans="1:1" x14ac:dyDescent="0.25">
      <c r="A662">
        <v>1</v>
      </c>
    </row>
    <row r="663" spans="1:1" x14ac:dyDescent="0.25">
      <c r="A663">
        <v>1</v>
      </c>
    </row>
    <row r="664" spans="1:1" x14ac:dyDescent="0.25">
      <c r="A664">
        <v>1</v>
      </c>
    </row>
    <row r="665" spans="1:1" x14ac:dyDescent="0.25">
      <c r="A665">
        <v>1</v>
      </c>
    </row>
    <row r="666" spans="1:1" x14ac:dyDescent="0.25">
      <c r="A666">
        <v>1</v>
      </c>
    </row>
    <row r="667" spans="1:1" x14ac:dyDescent="0.25">
      <c r="A667">
        <v>0</v>
      </c>
    </row>
    <row r="668" spans="1:1" x14ac:dyDescent="0.25">
      <c r="A668">
        <v>0</v>
      </c>
    </row>
    <row r="669" spans="1:1" x14ac:dyDescent="0.25">
      <c r="A669">
        <v>0</v>
      </c>
    </row>
    <row r="670" spans="1:1" x14ac:dyDescent="0.25">
      <c r="A670">
        <v>1</v>
      </c>
    </row>
    <row r="671" spans="1:1" x14ac:dyDescent="0.25">
      <c r="A671">
        <v>1</v>
      </c>
    </row>
    <row r="672" spans="1:1" x14ac:dyDescent="0.25">
      <c r="A672">
        <v>0</v>
      </c>
    </row>
    <row r="673" spans="1:1" x14ac:dyDescent="0.25">
      <c r="A673">
        <v>0</v>
      </c>
    </row>
    <row r="677" spans="1:1" x14ac:dyDescent="0.25">
      <c r="A677" t="s">
        <v>21</v>
      </c>
    </row>
    <row r="678" spans="1:1" x14ac:dyDescent="0.25">
      <c r="A678">
        <v>0</v>
      </c>
    </row>
    <row r="679" spans="1:1" x14ac:dyDescent="0.25">
      <c r="A679">
        <v>1</v>
      </c>
    </row>
    <row r="680" spans="1:1" x14ac:dyDescent="0.25">
      <c r="A680">
        <v>0</v>
      </c>
    </row>
    <row r="681" spans="1:1" x14ac:dyDescent="0.25">
      <c r="A681">
        <v>1</v>
      </c>
    </row>
    <row r="682" spans="1:1" x14ac:dyDescent="0.25">
      <c r="A682">
        <v>1</v>
      </c>
    </row>
    <row r="683" spans="1:1" x14ac:dyDescent="0.25">
      <c r="A683">
        <v>0</v>
      </c>
    </row>
    <row r="684" spans="1:1" x14ac:dyDescent="0.25">
      <c r="A684">
        <v>0</v>
      </c>
    </row>
    <row r="685" spans="1:1" x14ac:dyDescent="0.25">
      <c r="A685">
        <v>1</v>
      </c>
    </row>
    <row r="686" spans="1:1" x14ac:dyDescent="0.25">
      <c r="A686">
        <v>1</v>
      </c>
    </row>
    <row r="687" spans="1:1" x14ac:dyDescent="0.25">
      <c r="A687">
        <v>0</v>
      </c>
    </row>
    <row r="688" spans="1:1" x14ac:dyDescent="0.25">
      <c r="A688">
        <v>1</v>
      </c>
    </row>
    <row r="689" spans="1:1" x14ac:dyDescent="0.25">
      <c r="A689">
        <v>0</v>
      </c>
    </row>
    <row r="690" spans="1:1" x14ac:dyDescent="0.25">
      <c r="A690">
        <v>1</v>
      </c>
    </row>
    <row r="691" spans="1:1" x14ac:dyDescent="0.25">
      <c r="A691">
        <v>0</v>
      </c>
    </row>
    <row r="692" spans="1:1" x14ac:dyDescent="0.25">
      <c r="A692">
        <v>0</v>
      </c>
    </row>
    <row r="693" spans="1:1" x14ac:dyDescent="0.25">
      <c r="A693">
        <v>1</v>
      </c>
    </row>
    <row r="694" spans="1:1" x14ac:dyDescent="0.25">
      <c r="A694">
        <v>0</v>
      </c>
    </row>
    <row r="695" spans="1:1" x14ac:dyDescent="0.25">
      <c r="A695">
        <v>0</v>
      </c>
    </row>
    <row r="696" spans="1:1" x14ac:dyDescent="0.25">
      <c r="A696">
        <v>0</v>
      </c>
    </row>
    <row r="697" spans="1:1" x14ac:dyDescent="0.25">
      <c r="A697">
        <v>0</v>
      </c>
    </row>
    <row r="698" spans="1:1" x14ac:dyDescent="0.25">
      <c r="A698">
        <v>1</v>
      </c>
    </row>
    <row r="699" spans="1:1" x14ac:dyDescent="0.25">
      <c r="A699">
        <v>1</v>
      </c>
    </row>
    <row r="700" spans="1:1" x14ac:dyDescent="0.25">
      <c r="A700">
        <v>1</v>
      </c>
    </row>
    <row r="701" spans="1:1" x14ac:dyDescent="0.25">
      <c r="A701">
        <v>0</v>
      </c>
    </row>
    <row r="702" spans="1:1" x14ac:dyDescent="0.25">
      <c r="A702">
        <v>1</v>
      </c>
    </row>
    <row r="703" spans="1:1" x14ac:dyDescent="0.25">
      <c r="A703">
        <v>1</v>
      </c>
    </row>
    <row r="704" spans="1:1" x14ac:dyDescent="0.25">
      <c r="A704">
        <v>0</v>
      </c>
    </row>
    <row r="705" spans="1:1" x14ac:dyDescent="0.25">
      <c r="A705">
        <v>0</v>
      </c>
    </row>
    <row r="706" spans="1:1" x14ac:dyDescent="0.25">
      <c r="A706">
        <v>0</v>
      </c>
    </row>
    <row r="707" spans="1:1" x14ac:dyDescent="0.25">
      <c r="A707">
        <v>0</v>
      </c>
    </row>
    <row r="708" spans="1:1" x14ac:dyDescent="0.25">
      <c r="A708">
        <v>1</v>
      </c>
    </row>
    <row r="709" spans="1:1" x14ac:dyDescent="0.25">
      <c r="A709">
        <v>1</v>
      </c>
    </row>
    <row r="710" spans="1:1" x14ac:dyDescent="0.25">
      <c r="A710">
        <v>0</v>
      </c>
    </row>
    <row r="711" spans="1:1" x14ac:dyDescent="0.25">
      <c r="A711">
        <v>1</v>
      </c>
    </row>
    <row r="712" spans="1:1" x14ac:dyDescent="0.25">
      <c r="A712">
        <v>0</v>
      </c>
    </row>
    <row r="713" spans="1:1" x14ac:dyDescent="0.25">
      <c r="A713">
        <v>1</v>
      </c>
    </row>
    <row r="714" spans="1:1" x14ac:dyDescent="0.25">
      <c r="A714">
        <v>1</v>
      </c>
    </row>
    <row r="715" spans="1:1" x14ac:dyDescent="0.25">
      <c r="A715">
        <v>1</v>
      </c>
    </row>
    <row r="716" spans="1:1" x14ac:dyDescent="0.25">
      <c r="A716">
        <v>0</v>
      </c>
    </row>
    <row r="717" spans="1:1" x14ac:dyDescent="0.25">
      <c r="A717">
        <v>1</v>
      </c>
    </row>
    <row r="718" spans="1:1" x14ac:dyDescent="0.25">
      <c r="A718">
        <v>1</v>
      </c>
    </row>
    <row r="719" spans="1:1" x14ac:dyDescent="0.25">
      <c r="A719">
        <v>0</v>
      </c>
    </row>
    <row r="720" spans="1:1" x14ac:dyDescent="0.25">
      <c r="A720">
        <v>1</v>
      </c>
    </row>
    <row r="721" spans="1:1" x14ac:dyDescent="0.25">
      <c r="A721">
        <v>1</v>
      </c>
    </row>
    <row r="722" spans="1:1" x14ac:dyDescent="0.25">
      <c r="A722">
        <v>1</v>
      </c>
    </row>
    <row r="723" spans="1:1" x14ac:dyDescent="0.25">
      <c r="A723">
        <v>1</v>
      </c>
    </row>
    <row r="724" spans="1:1" x14ac:dyDescent="0.25">
      <c r="A724">
        <v>0</v>
      </c>
    </row>
    <row r="725" spans="1:1" x14ac:dyDescent="0.25">
      <c r="A725">
        <v>1</v>
      </c>
    </row>
    <row r="726" spans="1:1" x14ac:dyDescent="0.25">
      <c r="A726">
        <v>1</v>
      </c>
    </row>
    <row r="727" spans="1:1" x14ac:dyDescent="0.25">
      <c r="A727">
        <v>0</v>
      </c>
    </row>
    <row r="728" spans="1:1" x14ac:dyDescent="0.25">
      <c r="A728">
        <v>1</v>
      </c>
    </row>
    <row r="729" spans="1:1" x14ac:dyDescent="0.25">
      <c r="A729">
        <v>1</v>
      </c>
    </row>
    <row r="730" spans="1:1" x14ac:dyDescent="0.25">
      <c r="A730">
        <v>1</v>
      </c>
    </row>
    <row r="731" spans="1:1" x14ac:dyDescent="0.25">
      <c r="A731">
        <v>0</v>
      </c>
    </row>
    <row r="732" spans="1:1" x14ac:dyDescent="0.25">
      <c r="A732">
        <v>1</v>
      </c>
    </row>
    <row r="733" spans="1:1" x14ac:dyDescent="0.25">
      <c r="A733">
        <v>1</v>
      </c>
    </row>
    <row r="734" spans="1:1" x14ac:dyDescent="0.25">
      <c r="A734">
        <v>1</v>
      </c>
    </row>
    <row r="735" spans="1:1" x14ac:dyDescent="0.25">
      <c r="A735">
        <v>1</v>
      </c>
    </row>
    <row r="736" spans="1:1" x14ac:dyDescent="0.25">
      <c r="A736">
        <v>0</v>
      </c>
    </row>
    <row r="737" spans="1:1" x14ac:dyDescent="0.25">
      <c r="A737">
        <v>0</v>
      </c>
    </row>
    <row r="738" spans="1:1" x14ac:dyDescent="0.25">
      <c r="A738">
        <v>1</v>
      </c>
    </row>
    <row r="739" spans="1:1" x14ac:dyDescent="0.25">
      <c r="A739">
        <v>0</v>
      </c>
    </row>
    <row r="740" spans="1:1" x14ac:dyDescent="0.25">
      <c r="A740">
        <v>0</v>
      </c>
    </row>
    <row r="741" spans="1:1" x14ac:dyDescent="0.25">
      <c r="A741">
        <v>1</v>
      </c>
    </row>
    <row r="742" spans="1:1" x14ac:dyDescent="0.25">
      <c r="A742">
        <v>0</v>
      </c>
    </row>
    <row r="743" spans="1:1" x14ac:dyDescent="0.25">
      <c r="A743">
        <v>1</v>
      </c>
    </row>
    <row r="744" spans="1:1" x14ac:dyDescent="0.25">
      <c r="A744">
        <v>0</v>
      </c>
    </row>
    <row r="745" spans="1:1" x14ac:dyDescent="0.25">
      <c r="A745">
        <v>0</v>
      </c>
    </row>
    <row r="746" spans="1:1" x14ac:dyDescent="0.25">
      <c r="A746">
        <v>0</v>
      </c>
    </row>
    <row r="747" spans="1:1" x14ac:dyDescent="0.25">
      <c r="A747">
        <v>1</v>
      </c>
    </row>
    <row r="748" spans="1:1" x14ac:dyDescent="0.25">
      <c r="A748">
        <v>0</v>
      </c>
    </row>
    <row r="749" spans="1:1" x14ac:dyDescent="0.25">
      <c r="A749">
        <v>1</v>
      </c>
    </row>
    <row r="750" spans="1:1" x14ac:dyDescent="0.25">
      <c r="A750">
        <v>0</v>
      </c>
    </row>
    <row r="751" spans="1:1" x14ac:dyDescent="0.25">
      <c r="A751">
        <v>1</v>
      </c>
    </row>
    <row r="752" spans="1:1" x14ac:dyDescent="0.25">
      <c r="A752">
        <v>1</v>
      </c>
    </row>
    <row r="753" spans="1:1" x14ac:dyDescent="0.25">
      <c r="A753">
        <v>1</v>
      </c>
    </row>
    <row r="754" spans="1:1" x14ac:dyDescent="0.25">
      <c r="A754">
        <v>0</v>
      </c>
    </row>
    <row r="755" spans="1:1" x14ac:dyDescent="0.25">
      <c r="A755">
        <v>0</v>
      </c>
    </row>
    <row r="756" spans="1:1" x14ac:dyDescent="0.25">
      <c r="A756">
        <v>0</v>
      </c>
    </row>
    <row r="757" spans="1:1" x14ac:dyDescent="0.25">
      <c r="A757">
        <v>1</v>
      </c>
    </row>
    <row r="758" spans="1:1" x14ac:dyDescent="0.25">
      <c r="A758">
        <v>1</v>
      </c>
    </row>
    <row r="759" spans="1:1" x14ac:dyDescent="0.25">
      <c r="A759">
        <v>0</v>
      </c>
    </row>
    <row r="760" spans="1:1" x14ac:dyDescent="0.25">
      <c r="A760">
        <v>0</v>
      </c>
    </row>
    <row r="761" spans="1:1" x14ac:dyDescent="0.25">
      <c r="A761">
        <v>0</v>
      </c>
    </row>
    <row r="762" spans="1:1" x14ac:dyDescent="0.25">
      <c r="A762">
        <v>1</v>
      </c>
    </row>
    <row r="763" spans="1:1" x14ac:dyDescent="0.25">
      <c r="A763">
        <v>1</v>
      </c>
    </row>
    <row r="764" spans="1:1" x14ac:dyDescent="0.25">
      <c r="A764">
        <v>0</v>
      </c>
    </row>
    <row r="765" spans="1:1" x14ac:dyDescent="0.25">
      <c r="A765">
        <v>1</v>
      </c>
    </row>
    <row r="766" spans="1:1" x14ac:dyDescent="0.25">
      <c r="A766">
        <v>1</v>
      </c>
    </row>
    <row r="767" spans="1:1" x14ac:dyDescent="0.25">
      <c r="A767">
        <v>0</v>
      </c>
    </row>
    <row r="768" spans="1:1" x14ac:dyDescent="0.25">
      <c r="A768">
        <v>0</v>
      </c>
    </row>
    <row r="769" spans="1:1" x14ac:dyDescent="0.25">
      <c r="A769">
        <v>0</v>
      </c>
    </row>
    <row r="770" spans="1:1" x14ac:dyDescent="0.25">
      <c r="A770">
        <v>1</v>
      </c>
    </row>
    <row r="771" spans="1:1" x14ac:dyDescent="0.25">
      <c r="A771">
        <v>1</v>
      </c>
    </row>
    <row r="772" spans="1:1" x14ac:dyDescent="0.25">
      <c r="A772">
        <v>0</v>
      </c>
    </row>
    <row r="773" spans="1:1" x14ac:dyDescent="0.25">
      <c r="A773">
        <v>0</v>
      </c>
    </row>
    <row r="774" spans="1:1" x14ac:dyDescent="0.25">
      <c r="A774">
        <v>1</v>
      </c>
    </row>
    <row r="775" spans="1:1" x14ac:dyDescent="0.25">
      <c r="A775">
        <v>1</v>
      </c>
    </row>
    <row r="776" spans="1:1" x14ac:dyDescent="0.25">
      <c r="A776">
        <v>1</v>
      </c>
    </row>
    <row r="777" spans="1:1" x14ac:dyDescent="0.25">
      <c r="A777">
        <v>1</v>
      </c>
    </row>
    <row r="778" spans="1:1" x14ac:dyDescent="0.25">
      <c r="A778">
        <v>0</v>
      </c>
    </row>
    <row r="779" spans="1:1" x14ac:dyDescent="0.25">
      <c r="A779">
        <v>0</v>
      </c>
    </row>
    <row r="780" spans="1:1" x14ac:dyDescent="0.25">
      <c r="A780">
        <v>1</v>
      </c>
    </row>
    <row r="781" spans="1:1" x14ac:dyDescent="0.25">
      <c r="A781">
        <v>1</v>
      </c>
    </row>
    <row r="782" spans="1:1" x14ac:dyDescent="0.25">
      <c r="A782">
        <v>1</v>
      </c>
    </row>
    <row r="783" spans="1:1" x14ac:dyDescent="0.25">
      <c r="A783">
        <v>0</v>
      </c>
    </row>
    <row r="784" spans="1:1" x14ac:dyDescent="0.25">
      <c r="A784">
        <v>1</v>
      </c>
    </row>
    <row r="785" spans="1:1" x14ac:dyDescent="0.25">
      <c r="A785">
        <v>0</v>
      </c>
    </row>
    <row r="786" spans="1:1" x14ac:dyDescent="0.25">
      <c r="A786">
        <v>1</v>
      </c>
    </row>
    <row r="787" spans="1:1" x14ac:dyDescent="0.25">
      <c r="A787">
        <v>0</v>
      </c>
    </row>
    <row r="788" spans="1:1" x14ac:dyDescent="0.25">
      <c r="A788">
        <v>1</v>
      </c>
    </row>
    <row r="789" spans="1:1" x14ac:dyDescent="0.25">
      <c r="A789">
        <v>0</v>
      </c>
    </row>
    <row r="790" spans="1:1" x14ac:dyDescent="0.25">
      <c r="A790">
        <v>1</v>
      </c>
    </row>
    <row r="791" spans="1:1" x14ac:dyDescent="0.25">
      <c r="A791">
        <v>0</v>
      </c>
    </row>
    <row r="792" spans="1:1" x14ac:dyDescent="0.25">
      <c r="A792">
        <v>0</v>
      </c>
    </row>
    <row r="793" spans="1:1" x14ac:dyDescent="0.25">
      <c r="A793">
        <v>1</v>
      </c>
    </row>
    <row r="794" spans="1:1" x14ac:dyDescent="0.25">
      <c r="A794">
        <v>0</v>
      </c>
    </row>
    <row r="795" spans="1:1" x14ac:dyDescent="0.25">
      <c r="A795">
        <v>0</v>
      </c>
    </row>
    <row r="796" spans="1:1" x14ac:dyDescent="0.25">
      <c r="A796">
        <v>1</v>
      </c>
    </row>
    <row r="797" spans="1:1" x14ac:dyDescent="0.25">
      <c r="A797">
        <v>0</v>
      </c>
    </row>
    <row r="798" spans="1:1" x14ac:dyDescent="0.25">
      <c r="A798">
        <v>1</v>
      </c>
    </row>
    <row r="799" spans="1:1" x14ac:dyDescent="0.25">
      <c r="A799">
        <v>1</v>
      </c>
    </row>
    <row r="800" spans="1:1" x14ac:dyDescent="0.25">
      <c r="A800">
        <v>1</v>
      </c>
    </row>
    <row r="801" spans="1:1" x14ac:dyDescent="0.25">
      <c r="A801">
        <v>1</v>
      </c>
    </row>
    <row r="802" spans="1:1" x14ac:dyDescent="0.25">
      <c r="A802">
        <v>0</v>
      </c>
    </row>
    <row r="803" spans="1:1" x14ac:dyDescent="0.25">
      <c r="A803">
        <v>1</v>
      </c>
    </row>
    <row r="804" spans="1:1" x14ac:dyDescent="0.25">
      <c r="A804">
        <v>0</v>
      </c>
    </row>
    <row r="805" spans="1:1" x14ac:dyDescent="0.25">
      <c r="A805">
        <v>1</v>
      </c>
    </row>
    <row r="806" spans="1:1" x14ac:dyDescent="0.25">
      <c r="A806">
        <v>0</v>
      </c>
    </row>
    <row r="807" spans="1:1" x14ac:dyDescent="0.25">
      <c r="A807">
        <v>0</v>
      </c>
    </row>
    <row r="812" spans="1:1" x14ac:dyDescent="0.25">
      <c r="A812" t="s">
        <v>84</v>
      </c>
    </row>
    <row r="813" spans="1:1" x14ac:dyDescent="0.25">
      <c r="A813">
        <v>1</v>
      </c>
    </row>
    <row r="814" spans="1:1" x14ac:dyDescent="0.25">
      <c r="A814">
        <v>1</v>
      </c>
    </row>
    <row r="815" spans="1:1" x14ac:dyDescent="0.25">
      <c r="A815">
        <v>0</v>
      </c>
    </row>
    <row r="816" spans="1:1" x14ac:dyDescent="0.25">
      <c r="A816">
        <v>0</v>
      </c>
    </row>
    <row r="817" spans="1:1" x14ac:dyDescent="0.25">
      <c r="A817">
        <v>0</v>
      </c>
    </row>
    <row r="818" spans="1:1" x14ac:dyDescent="0.25">
      <c r="A818">
        <v>1</v>
      </c>
    </row>
    <row r="819" spans="1:1" x14ac:dyDescent="0.25">
      <c r="A819">
        <v>0</v>
      </c>
    </row>
    <row r="820" spans="1:1" x14ac:dyDescent="0.25">
      <c r="A820">
        <v>1</v>
      </c>
    </row>
    <row r="821" spans="1:1" x14ac:dyDescent="0.25">
      <c r="A821">
        <v>0</v>
      </c>
    </row>
    <row r="822" spans="1:1" x14ac:dyDescent="0.25">
      <c r="A822">
        <v>1</v>
      </c>
    </row>
    <row r="823" spans="1:1" x14ac:dyDescent="0.25">
      <c r="A823">
        <v>0</v>
      </c>
    </row>
    <row r="824" spans="1:1" x14ac:dyDescent="0.25">
      <c r="A824">
        <v>1</v>
      </c>
    </row>
    <row r="825" spans="1:1" x14ac:dyDescent="0.25">
      <c r="A825">
        <v>0</v>
      </c>
    </row>
    <row r="826" spans="1:1" x14ac:dyDescent="0.25">
      <c r="A826">
        <v>0</v>
      </c>
    </row>
    <row r="827" spans="1:1" x14ac:dyDescent="0.25">
      <c r="A827">
        <v>1</v>
      </c>
    </row>
    <row r="828" spans="1:1" x14ac:dyDescent="0.25">
      <c r="A828">
        <v>1</v>
      </c>
    </row>
    <row r="829" spans="1:1" x14ac:dyDescent="0.25">
      <c r="A829">
        <v>0</v>
      </c>
    </row>
    <row r="830" spans="1:1" x14ac:dyDescent="0.25">
      <c r="A830">
        <v>0</v>
      </c>
    </row>
    <row r="831" spans="1:1" x14ac:dyDescent="0.25">
      <c r="A831">
        <v>1</v>
      </c>
    </row>
    <row r="832" spans="1:1" x14ac:dyDescent="0.25">
      <c r="A832">
        <v>0</v>
      </c>
    </row>
    <row r="833" spans="1:1" x14ac:dyDescent="0.25">
      <c r="A833">
        <v>0</v>
      </c>
    </row>
    <row r="834" spans="1:1" x14ac:dyDescent="0.25">
      <c r="A834">
        <v>0</v>
      </c>
    </row>
    <row r="835" spans="1:1" x14ac:dyDescent="0.25">
      <c r="A835">
        <v>1</v>
      </c>
    </row>
    <row r="836" spans="1:1" x14ac:dyDescent="0.25">
      <c r="A836">
        <v>0</v>
      </c>
    </row>
    <row r="837" spans="1:1" x14ac:dyDescent="0.25">
      <c r="A837">
        <v>1</v>
      </c>
    </row>
    <row r="838" spans="1:1" x14ac:dyDescent="0.25">
      <c r="A838">
        <v>1</v>
      </c>
    </row>
    <row r="839" spans="1:1" x14ac:dyDescent="0.25">
      <c r="A839">
        <v>0</v>
      </c>
    </row>
    <row r="840" spans="1:1" x14ac:dyDescent="0.25">
      <c r="A840">
        <v>1</v>
      </c>
    </row>
    <row r="841" spans="1:1" x14ac:dyDescent="0.25">
      <c r="A841">
        <v>1</v>
      </c>
    </row>
    <row r="842" spans="1:1" x14ac:dyDescent="0.25">
      <c r="A842">
        <v>0</v>
      </c>
    </row>
    <row r="843" spans="1:1" x14ac:dyDescent="0.25">
      <c r="A843">
        <v>0</v>
      </c>
    </row>
    <row r="844" spans="1:1" x14ac:dyDescent="0.25">
      <c r="A844">
        <v>0</v>
      </c>
    </row>
    <row r="845" spans="1:1" x14ac:dyDescent="0.25">
      <c r="A845">
        <v>0</v>
      </c>
    </row>
    <row r="846" spans="1:1" x14ac:dyDescent="0.25">
      <c r="A846">
        <v>0</v>
      </c>
    </row>
    <row r="847" spans="1:1" x14ac:dyDescent="0.25">
      <c r="A847">
        <v>1</v>
      </c>
    </row>
    <row r="848" spans="1:1" x14ac:dyDescent="0.25">
      <c r="A848">
        <v>0</v>
      </c>
    </row>
    <row r="849" spans="1:1" x14ac:dyDescent="0.25">
      <c r="A849">
        <v>0</v>
      </c>
    </row>
    <row r="850" spans="1:1" x14ac:dyDescent="0.25">
      <c r="A850">
        <v>1</v>
      </c>
    </row>
    <row r="851" spans="1:1" x14ac:dyDescent="0.25">
      <c r="A851">
        <v>0</v>
      </c>
    </row>
    <row r="852" spans="1:1" x14ac:dyDescent="0.25">
      <c r="A852">
        <v>0</v>
      </c>
    </row>
    <row r="853" spans="1:1" x14ac:dyDescent="0.25">
      <c r="A853">
        <v>0</v>
      </c>
    </row>
    <row r="854" spans="1:1" x14ac:dyDescent="0.25">
      <c r="A854">
        <v>1</v>
      </c>
    </row>
    <row r="855" spans="1:1" x14ac:dyDescent="0.25">
      <c r="A855">
        <v>1</v>
      </c>
    </row>
    <row r="856" spans="1:1" x14ac:dyDescent="0.25">
      <c r="A856">
        <v>0</v>
      </c>
    </row>
    <row r="857" spans="1:1" x14ac:dyDescent="0.25">
      <c r="A857">
        <v>0</v>
      </c>
    </row>
    <row r="858" spans="1:1" x14ac:dyDescent="0.25">
      <c r="A858">
        <v>1</v>
      </c>
    </row>
    <row r="859" spans="1:1" x14ac:dyDescent="0.25">
      <c r="A859">
        <v>1</v>
      </c>
    </row>
    <row r="860" spans="1:1" x14ac:dyDescent="0.25">
      <c r="A860">
        <v>0</v>
      </c>
    </row>
    <row r="861" spans="1:1" x14ac:dyDescent="0.25">
      <c r="A861">
        <v>0</v>
      </c>
    </row>
    <row r="862" spans="1:1" x14ac:dyDescent="0.25">
      <c r="A862">
        <v>0</v>
      </c>
    </row>
    <row r="863" spans="1:1" x14ac:dyDescent="0.25">
      <c r="A863">
        <v>0</v>
      </c>
    </row>
    <row r="864" spans="1:1" x14ac:dyDescent="0.25">
      <c r="A864">
        <v>1</v>
      </c>
    </row>
    <row r="865" spans="1:1" x14ac:dyDescent="0.25">
      <c r="A865">
        <v>0</v>
      </c>
    </row>
    <row r="866" spans="1:1" x14ac:dyDescent="0.25">
      <c r="A866">
        <v>1</v>
      </c>
    </row>
    <row r="867" spans="1:1" x14ac:dyDescent="0.25">
      <c r="A867">
        <v>1</v>
      </c>
    </row>
    <row r="868" spans="1:1" x14ac:dyDescent="0.25">
      <c r="A868">
        <v>0</v>
      </c>
    </row>
    <row r="869" spans="1:1" x14ac:dyDescent="0.25">
      <c r="A869">
        <v>1</v>
      </c>
    </row>
    <row r="870" spans="1:1" x14ac:dyDescent="0.25">
      <c r="A870">
        <v>1</v>
      </c>
    </row>
    <row r="871" spans="1:1" x14ac:dyDescent="0.25">
      <c r="A871">
        <v>1</v>
      </c>
    </row>
    <row r="872" spans="1:1" x14ac:dyDescent="0.25">
      <c r="A872">
        <v>1</v>
      </c>
    </row>
    <row r="873" spans="1:1" x14ac:dyDescent="0.25">
      <c r="A873">
        <v>1</v>
      </c>
    </row>
    <row r="874" spans="1:1" x14ac:dyDescent="0.25">
      <c r="A874">
        <v>1</v>
      </c>
    </row>
    <row r="875" spans="1:1" x14ac:dyDescent="0.25">
      <c r="A875">
        <v>0</v>
      </c>
    </row>
    <row r="876" spans="1:1" x14ac:dyDescent="0.25">
      <c r="A876">
        <v>0</v>
      </c>
    </row>
    <row r="877" spans="1:1" x14ac:dyDescent="0.25">
      <c r="A877">
        <v>1</v>
      </c>
    </row>
    <row r="878" spans="1:1" x14ac:dyDescent="0.25">
      <c r="A878">
        <v>1</v>
      </c>
    </row>
    <row r="879" spans="1:1" x14ac:dyDescent="0.25">
      <c r="A879">
        <v>1</v>
      </c>
    </row>
    <row r="880" spans="1:1" x14ac:dyDescent="0.25">
      <c r="A880">
        <v>1</v>
      </c>
    </row>
    <row r="881" spans="1:1" x14ac:dyDescent="0.25">
      <c r="A881">
        <v>0</v>
      </c>
    </row>
    <row r="882" spans="1:1" x14ac:dyDescent="0.25">
      <c r="A882">
        <v>1</v>
      </c>
    </row>
    <row r="883" spans="1:1" x14ac:dyDescent="0.25">
      <c r="A883">
        <v>1</v>
      </c>
    </row>
    <row r="884" spans="1:1" x14ac:dyDescent="0.25">
      <c r="A884">
        <v>1</v>
      </c>
    </row>
    <row r="885" spans="1:1" x14ac:dyDescent="0.25">
      <c r="A885">
        <v>1</v>
      </c>
    </row>
    <row r="886" spans="1:1" x14ac:dyDescent="0.25">
      <c r="A886">
        <v>1</v>
      </c>
    </row>
    <row r="887" spans="1:1" x14ac:dyDescent="0.25">
      <c r="A887">
        <v>1</v>
      </c>
    </row>
    <row r="888" spans="1:1" x14ac:dyDescent="0.25">
      <c r="A888">
        <v>1</v>
      </c>
    </row>
    <row r="889" spans="1:1" x14ac:dyDescent="0.25">
      <c r="A889">
        <v>1</v>
      </c>
    </row>
    <row r="890" spans="1:1" x14ac:dyDescent="0.25">
      <c r="A890">
        <v>0</v>
      </c>
    </row>
    <row r="891" spans="1:1" x14ac:dyDescent="0.25">
      <c r="A891">
        <v>1</v>
      </c>
    </row>
    <row r="892" spans="1:1" x14ac:dyDescent="0.25">
      <c r="A892">
        <v>0</v>
      </c>
    </row>
    <row r="893" spans="1:1" x14ac:dyDescent="0.25">
      <c r="A893">
        <v>0</v>
      </c>
    </row>
    <row r="894" spans="1:1" x14ac:dyDescent="0.25">
      <c r="A894">
        <v>0</v>
      </c>
    </row>
    <row r="895" spans="1:1" x14ac:dyDescent="0.25">
      <c r="A895">
        <v>1</v>
      </c>
    </row>
    <row r="896" spans="1:1" x14ac:dyDescent="0.25">
      <c r="A896">
        <v>0</v>
      </c>
    </row>
    <row r="897" spans="1:1" x14ac:dyDescent="0.25">
      <c r="A897">
        <v>1</v>
      </c>
    </row>
    <row r="898" spans="1:1" x14ac:dyDescent="0.25">
      <c r="A898">
        <v>1</v>
      </c>
    </row>
    <row r="899" spans="1:1" x14ac:dyDescent="0.25">
      <c r="A899">
        <v>0</v>
      </c>
    </row>
    <row r="900" spans="1:1" x14ac:dyDescent="0.25">
      <c r="A900">
        <v>0</v>
      </c>
    </row>
    <row r="901" spans="1:1" x14ac:dyDescent="0.25">
      <c r="A901">
        <v>0</v>
      </c>
    </row>
    <row r="902" spans="1:1" x14ac:dyDescent="0.25">
      <c r="A902">
        <v>0</v>
      </c>
    </row>
    <row r="903" spans="1:1" x14ac:dyDescent="0.25">
      <c r="A903">
        <v>1</v>
      </c>
    </row>
    <row r="904" spans="1:1" x14ac:dyDescent="0.25">
      <c r="A904">
        <v>0</v>
      </c>
    </row>
    <row r="905" spans="1:1" x14ac:dyDescent="0.25">
      <c r="A905">
        <v>0</v>
      </c>
    </row>
    <row r="906" spans="1:1" x14ac:dyDescent="0.25">
      <c r="A906">
        <v>0</v>
      </c>
    </row>
    <row r="907" spans="1:1" x14ac:dyDescent="0.25">
      <c r="A907">
        <v>1</v>
      </c>
    </row>
    <row r="908" spans="1:1" x14ac:dyDescent="0.25">
      <c r="A908">
        <v>1</v>
      </c>
    </row>
    <row r="909" spans="1:1" x14ac:dyDescent="0.25">
      <c r="A909">
        <v>1</v>
      </c>
    </row>
    <row r="910" spans="1:1" x14ac:dyDescent="0.25">
      <c r="A910">
        <v>1</v>
      </c>
    </row>
    <row r="911" spans="1:1" x14ac:dyDescent="0.25">
      <c r="A911">
        <v>1</v>
      </c>
    </row>
    <row r="912" spans="1:1" x14ac:dyDescent="0.25">
      <c r="A912">
        <v>1</v>
      </c>
    </row>
    <row r="913" spans="1:1" x14ac:dyDescent="0.25">
      <c r="A913">
        <v>1</v>
      </c>
    </row>
    <row r="914" spans="1:1" x14ac:dyDescent="0.25">
      <c r="A914">
        <v>0</v>
      </c>
    </row>
    <row r="915" spans="1:1" x14ac:dyDescent="0.25">
      <c r="A915">
        <v>1</v>
      </c>
    </row>
    <row r="916" spans="1:1" x14ac:dyDescent="0.25">
      <c r="A916">
        <v>1</v>
      </c>
    </row>
    <row r="917" spans="1:1" x14ac:dyDescent="0.25">
      <c r="A917">
        <v>0</v>
      </c>
    </row>
    <row r="918" spans="1:1" x14ac:dyDescent="0.25">
      <c r="A918">
        <v>0</v>
      </c>
    </row>
    <row r="919" spans="1:1" x14ac:dyDescent="0.25">
      <c r="A919">
        <v>0</v>
      </c>
    </row>
    <row r="920" spans="1:1" x14ac:dyDescent="0.25">
      <c r="A920">
        <v>1</v>
      </c>
    </row>
    <row r="921" spans="1:1" x14ac:dyDescent="0.25">
      <c r="A921">
        <v>1</v>
      </c>
    </row>
    <row r="922" spans="1:1" x14ac:dyDescent="0.25">
      <c r="A922">
        <v>0</v>
      </c>
    </row>
    <row r="923" spans="1:1" x14ac:dyDescent="0.25">
      <c r="A923">
        <v>1</v>
      </c>
    </row>
    <row r="924" spans="1:1" x14ac:dyDescent="0.25">
      <c r="A924">
        <v>0</v>
      </c>
    </row>
    <row r="925" spans="1:1" x14ac:dyDescent="0.25">
      <c r="A925">
        <v>0</v>
      </c>
    </row>
    <row r="926" spans="1:1" x14ac:dyDescent="0.25">
      <c r="A926">
        <v>1</v>
      </c>
    </row>
    <row r="927" spans="1:1" x14ac:dyDescent="0.25">
      <c r="A927">
        <v>1</v>
      </c>
    </row>
    <row r="928" spans="1:1" x14ac:dyDescent="0.25">
      <c r="A928">
        <v>0</v>
      </c>
    </row>
    <row r="929" spans="1:1" x14ac:dyDescent="0.25">
      <c r="A929">
        <v>0</v>
      </c>
    </row>
    <row r="930" spans="1:1" x14ac:dyDescent="0.25">
      <c r="A930">
        <v>1</v>
      </c>
    </row>
    <row r="931" spans="1:1" x14ac:dyDescent="0.25">
      <c r="A931">
        <v>0</v>
      </c>
    </row>
    <row r="932" spans="1:1" x14ac:dyDescent="0.25">
      <c r="A932">
        <v>0</v>
      </c>
    </row>
    <row r="933" spans="1:1" x14ac:dyDescent="0.25">
      <c r="A933">
        <v>0</v>
      </c>
    </row>
    <row r="934" spans="1:1" x14ac:dyDescent="0.25">
      <c r="A934">
        <v>1</v>
      </c>
    </row>
    <row r="935" spans="1:1" x14ac:dyDescent="0.25">
      <c r="A935">
        <v>1</v>
      </c>
    </row>
    <row r="936" spans="1:1" x14ac:dyDescent="0.25">
      <c r="A936">
        <v>1</v>
      </c>
    </row>
    <row r="937" spans="1:1" x14ac:dyDescent="0.25">
      <c r="A937">
        <v>0</v>
      </c>
    </row>
    <row r="938" spans="1:1" x14ac:dyDescent="0.25">
      <c r="A938">
        <v>1</v>
      </c>
    </row>
    <row r="939" spans="1:1" x14ac:dyDescent="0.25">
      <c r="A939">
        <v>0</v>
      </c>
    </row>
    <row r="940" spans="1:1" x14ac:dyDescent="0.25">
      <c r="A940">
        <v>0</v>
      </c>
    </row>
    <row r="941" spans="1:1" x14ac:dyDescent="0.25">
      <c r="A941">
        <v>0</v>
      </c>
    </row>
    <row r="942" spans="1:1" x14ac:dyDescent="0.25">
      <c r="A942">
        <v>1</v>
      </c>
    </row>
    <row r="947" spans="1:1" x14ac:dyDescent="0.25">
      <c r="A947" t="s">
        <v>22</v>
      </c>
    </row>
    <row r="948" spans="1:1" x14ac:dyDescent="0.25">
      <c r="A948">
        <v>1</v>
      </c>
    </row>
    <row r="949" spans="1:1" x14ac:dyDescent="0.25">
      <c r="A949">
        <v>0</v>
      </c>
    </row>
    <row r="950" spans="1:1" x14ac:dyDescent="0.25">
      <c r="A950">
        <v>0</v>
      </c>
    </row>
    <row r="951" spans="1:1" x14ac:dyDescent="0.25">
      <c r="A951">
        <v>0</v>
      </c>
    </row>
    <row r="952" spans="1:1" x14ac:dyDescent="0.25">
      <c r="A952">
        <v>0</v>
      </c>
    </row>
    <row r="953" spans="1:1" x14ac:dyDescent="0.25">
      <c r="A953">
        <v>1</v>
      </c>
    </row>
    <row r="954" spans="1:1" x14ac:dyDescent="0.25">
      <c r="A954">
        <v>1</v>
      </c>
    </row>
    <row r="955" spans="1:1" x14ac:dyDescent="0.25">
      <c r="A955">
        <v>0</v>
      </c>
    </row>
    <row r="956" spans="1:1" x14ac:dyDescent="0.25">
      <c r="A956">
        <v>1</v>
      </c>
    </row>
    <row r="957" spans="1:1" x14ac:dyDescent="0.25">
      <c r="A957">
        <v>1</v>
      </c>
    </row>
    <row r="958" spans="1:1" x14ac:dyDescent="0.25">
      <c r="A958">
        <v>0</v>
      </c>
    </row>
    <row r="959" spans="1:1" x14ac:dyDescent="0.25">
      <c r="A959">
        <v>0</v>
      </c>
    </row>
    <row r="960" spans="1:1" x14ac:dyDescent="0.25">
      <c r="A960">
        <v>1</v>
      </c>
    </row>
    <row r="961" spans="1:1" x14ac:dyDescent="0.25">
      <c r="A961">
        <v>0</v>
      </c>
    </row>
    <row r="962" spans="1:1" x14ac:dyDescent="0.25">
      <c r="A962">
        <v>1</v>
      </c>
    </row>
    <row r="963" spans="1:1" x14ac:dyDescent="0.25">
      <c r="A963">
        <v>1</v>
      </c>
    </row>
    <row r="964" spans="1:1" x14ac:dyDescent="0.25">
      <c r="A964">
        <v>1</v>
      </c>
    </row>
    <row r="965" spans="1:1" x14ac:dyDescent="0.25">
      <c r="A965">
        <v>0</v>
      </c>
    </row>
    <row r="966" spans="1:1" x14ac:dyDescent="0.25">
      <c r="A966">
        <v>1</v>
      </c>
    </row>
    <row r="967" spans="1:1" x14ac:dyDescent="0.25">
      <c r="A967">
        <v>1</v>
      </c>
    </row>
    <row r="968" spans="1:1" x14ac:dyDescent="0.25">
      <c r="A968">
        <v>1</v>
      </c>
    </row>
    <row r="969" spans="1:1" x14ac:dyDescent="0.25">
      <c r="A969">
        <v>0</v>
      </c>
    </row>
    <row r="970" spans="1:1" x14ac:dyDescent="0.25">
      <c r="A970">
        <v>0</v>
      </c>
    </row>
    <row r="971" spans="1:1" x14ac:dyDescent="0.25">
      <c r="A971">
        <v>0</v>
      </c>
    </row>
    <row r="972" spans="1:1" x14ac:dyDescent="0.25">
      <c r="A972">
        <v>1</v>
      </c>
    </row>
    <row r="973" spans="1:1" x14ac:dyDescent="0.25">
      <c r="A973">
        <v>1</v>
      </c>
    </row>
    <row r="974" spans="1:1" x14ac:dyDescent="0.25">
      <c r="A974">
        <v>1</v>
      </c>
    </row>
    <row r="975" spans="1:1" x14ac:dyDescent="0.25">
      <c r="A975">
        <v>0</v>
      </c>
    </row>
    <row r="976" spans="1:1" x14ac:dyDescent="0.25">
      <c r="A976">
        <v>1</v>
      </c>
    </row>
    <row r="977" spans="1:1" x14ac:dyDescent="0.25">
      <c r="A977">
        <v>1</v>
      </c>
    </row>
    <row r="978" spans="1:1" x14ac:dyDescent="0.25">
      <c r="A978">
        <v>0</v>
      </c>
    </row>
    <row r="979" spans="1:1" x14ac:dyDescent="0.25">
      <c r="A979">
        <v>0</v>
      </c>
    </row>
    <row r="980" spans="1:1" x14ac:dyDescent="0.25">
      <c r="A980">
        <v>0</v>
      </c>
    </row>
    <row r="981" spans="1:1" x14ac:dyDescent="0.25">
      <c r="A981">
        <v>1</v>
      </c>
    </row>
    <row r="982" spans="1:1" x14ac:dyDescent="0.25">
      <c r="A982">
        <v>0</v>
      </c>
    </row>
    <row r="983" spans="1:1" x14ac:dyDescent="0.25">
      <c r="A983">
        <v>0</v>
      </c>
    </row>
    <row r="984" spans="1:1" x14ac:dyDescent="0.25">
      <c r="A984">
        <v>0</v>
      </c>
    </row>
    <row r="985" spans="1:1" x14ac:dyDescent="0.25">
      <c r="A985">
        <v>1</v>
      </c>
    </row>
    <row r="986" spans="1:1" x14ac:dyDescent="0.25">
      <c r="A986">
        <v>1</v>
      </c>
    </row>
    <row r="987" spans="1:1" x14ac:dyDescent="0.25">
      <c r="A987">
        <v>0</v>
      </c>
    </row>
    <row r="988" spans="1:1" x14ac:dyDescent="0.25">
      <c r="A988">
        <v>0</v>
      </c>
    </row>
    <row r="989" spans="1:1" x14ac:dyDescent="0.25">
      <c r="A989">
        <v>0</v>
      </c>
    </row>
    <row r="990" spans="1:1" x14ac:dyDescent="0.25">
      <c r="A990">
        <v>1</v>
      </c>
    </row>
    <row r="991" spans="1:1" x14ac:dyDescent="0.25">
      <c r="A991">
        <v>0</v>
      </c>
    </row>
    <row r="992" spans="1:1" x14ac:dyDescent="0.25">
      <c r="A992">
        <v>0</v>
      </c>
    </row>
    <row r="993" spans="1:1" x14ac:dyDescent="0.25">
      <c r="A993">
        <v>1</v>
      </c>
    </row>
    <row r="994" spans="1:1" x14ac:dyDescent="0.25">
      <c r="A994">
        <v>0</v>
      </c>
    </row>
    <row r="995" spans="1:1" x14ac:dyDescent="0.25">
      <c r="A995">
        <v>1</v>
      </c>
    </row>
    <row r="996" spans="1:1" x14ac:dyDescent="0.25">
      <c r="A996">
        <v>0</v>
      </c>
    </row>
    <row r="997" spans="1:1" x14ac:dyDescent="0.25">
      <c r="A997">
        <v>0</v>
      </c>
    </row>
    <row r="998" spans="1:1" x14ac:dyDescent="0.25">
      <c r="A998">
        <v>1</v>
      </c>
    </row>
    <row r="999" spans="1:1" x14ac:dyDescent="0.25">
      <c r="A999">
        <v>0</v>
      </c>
    </row>
    <row r="1000" spans="1:1" x14ac:dyDescent="0.25">
      <c r="A1000">
        <v>0</v>
      </c>
    </row>
    <row r="1001" spans="1:1" x14ac:dyDescent="0.25">
      <c r="A1001">
        <v>0</v>
      </c>
    </row>
    <row r="1002" spans="1:1" x14ac:dyDescent="0.25">
      <c r="A1002">
        <v>0</v>
      </c>
    </row>
    <row r="1003" spans="1:1" x14ac:dyDescent="0.25">
      <c r="A1003">
        <v>0</v>
      </c>
    </row>
    <row r="1004" spans="1:1" x14ac:dyDescent="0.25">
      <c r="A1004">
        <v>0</v>
      </c>
    </row>
    <row r="1005" spans="1:1" x14ac:dyDescent="0.25">
      <c r="A1005">
        <v>1</v>
      </c>
    </row>
    <row r="1006" spans="1:1" x14ac:dyDescent="0.25">
      <c r="A1006">
        <v>1</v>
      </c>
    </row>
    <row r="1007" spans="1:1" x14ac:dyDescent="0.25">
      <c r="A1007">
        <v>0</v>
      </c>
    </row>
    <row r="1008" spans="1:1" x14ac:dyDescent="0.25">
      <c r="A1008">
        <v>1</v>
      </c>
    </row>
    <row r="1009" spans="1:1" x14ac:dyDescent="0.25">
      <c r="A1009">
        <v>0</v>
      </c>
    </row>
    <row r="1010" spans="1:1" x14ac:dyDescent="0.25">
      <c r="A1010">
        <v>0</v>
      </c>
    </row>
    <row r="1011" spans="1:1" x14ac:dyDescent="0.25">
      <c r="A1011">
        <v>0</v>
      </c>
    </row>
    <row r="1012" spans="1:1" x14ac:dyDescent="0.25">
      <c r="A1012">
        <v>0</v>
      </c>
    </row>
    <row r="1013" spans="1:1" x14ac:dyDescent="0.25">
      <c r="A1013">
        <v>1</v>
      </c>
    </row>
    <row r="1014" spans="1:1" x14ac:dyDescent="0.25">
      <c r="A1014">
        <v>0</v>
      </c>
    </row>
    <row r="1015" spans="1:1" x14ac:dyDescent="0.25">
      <c r="A1015">
        <v>0</v>
      </c>
    </row>
    <row r="1016" spans="1:1" x14ac:dyDescent="0.25">
      <c r="A1016">
        <v>1</v>
      </c>
    </row>
    <row r="1017" spans="1:1" x14ac:dyDescent="0.25">
      <c r="A1017">
        <v>0</v>
      </c>
    </row>
    <row r="1018" spans="1:1" x14ac:dyDescent="0.25">
      <c r="A1018">
        <v>0</v>
      </c>
    </row>
    <row r="1019" spans="1:1" x14ac:dyDescent="0.25">
      <c r="A1019">
        <v>0</v>
      </c>
    </row>
    <row r="1020" spans="1:1" x14ac:dyDescent="0.25">
      <c r="A1020">
        <v>0</v>
      </c>
    </row>
    <row r="1021" spans="1:1" x14ac:dyDescent="0.25">
      <c r="A1021">
        <v>0</v>
      </c>
    </row>
    <row r="1022" spans="1:1" x14ac:dyDescent="0.25">
      <c r="A1022">
        <v>0</v>
      </c>
    </row>
    <row r="1023" spans="1:1" x14ac:dyDescent="0.25">
      <c r="A1023">
        <v>1</v>
      </c>
    </row>
    <row r="1024" spans="1:1" x14ac:dyDescent="0.25">
      <c r="A1024">
        <v>1</v>
      </c>
    </row>
    <row r="1025" spans="1:1" x14ac:dyDescent="0.25">
      <c r="A1025">
        <v>0</v>
      </c>
    </row>
    <row r="1026" spans="1:1" x14ac:dyDescent="0.25">
      <c r="A1026">
        <v>0</v>
      </c>
    </row>
    <row r="1027" spans="1:1" x14ac:dyDescent="0.25">
      <c r="A1027">
        <v>1</v>
      </c>
    </row>
    <row r="1028" spans="1:1" x14ac:dyDescent="0.25">
      <c r="A1028">
        <v>0</v>
      </c>
    </row>
    <row r="1029" spans="1:1" x14ac:dyDescent="0.25">
      <c r="A1029">
        <v>0</v>
      </c>
    </row>
    <row r="1030" spans="1:1" x14ac:dyDescent="0.25">
      <c r="A1030">
        <v>0</v>
      </c>
    </row>
    <row r="1031" spans="1:1" x14ac:dyDescent="0.25">
      <c r="A1031">
        <v>1</v>
      </c>
    </row>
    <row r="1032" spans="1:1" x14ac:dyDescent="0.25">
      <c r="A1032">
        <v>1</v>
      </c>
    </row>
    <row r="1033" spans="1:1" x14ac:dyDescent="0.25">
      <c r="A1033">
        <v>1</v>
      </c>
    </row>
    <row r="1034" spans="1:1" x14ac:dyDescent="0.25">
      <c r="A1034">
        <v>1</v>
      </c>
    </row>
    <row r="1035" spans="1:1" x14ac:dyDescent="0.25">
      <c r="A1035">
        <v>0</v>
      </c>
    </row>
    <row r="1036" spans="1:1" x14ac:dyDescent="0.25">
      <c r="A1036">
        <v>1</v>
      </c>
    </row>
    <row r="1037" spans="1:1" x14ac:dyDescent="0.25">
      <c r="A1037">
        <v>0</v>
      </c>
    </row>
    <row r="1038" spans="1:1" x14ac:dyDescent="0.25">
      <c r="A1038">
        <v>0</v>
      </c>
    </row>
    <row r="1039" spans="1:1" x14ac:dyDescent="0.25">
      <c r="A1039">
        <v>0</v>
      </c>
    </row>
    <row r="1040" spans="1:1" x14ac:dyDescent="0.25">
      <c r="A1040">
        <v>0</v>
      </c>
    </row>
    <row r="1041" spans="1:1" x14ac:dyDescent="0.25">
      <c r="A1041">
        <v>1</v>
      </c>
    </row>
    <row r="1042" spans="1:1" x14ac:dyDescent="0.25">
      <c r="A1042">
        <v>0</v>
      </c>
    </row>
    <row r="1043" spans="1:1" x14ac:dyDescent="0.25">
      <c r="A1043">
        <v>0</v>
      </c>
    </row>
    <row r="1044" spans="1:1" x14ac:dyDescent="0.25">
      <c r="A1044">
        <v>1</v>
      </c>
    </row>
    <row r="1045" spans="1:1" x14ac:dyDescent="0.25">
      <c r="A1045">
        <v>1</v>
      </c>
    </row>
    <row r="1046" spans="1:1" x14ac:dyDescent="0.25">
      <c r="A1046">
        <v>0</v>
      </c>
    </row>
    <row r="1047" spans="1:1" x14ac:dyDescent="0.25">
      <c r="A1047">
        <v>1</v>
      </c>
    </row>
    <row r="1048" spans="1:1" x14ac:dyDescent="0.25">
      <c r="A1048">
        <v>1</v>
      </c>
    </row>
    <row r="1049" spans="1:1" x14ac:dyDescent="0.25">
      <c r="A1049">
        <v>0</v>
      </c>
    </row>
    <row r="1050" spans="1:1" x14ac:dyDescent="0.25">
      <c r="A1050">
        <v>1</v>
      </c>
    </row>
    <row r="1051" spans="1:1" x14ac:dyDescent="0.25">
      <c r="A1051">
        <v>1</v>
      </c>
    </row>
    <row r="1052" spans="1:1" x14ac:dyDescent="0.25">
      <c r="A1052">
        <v>1</v>
      </c>
    </row>
    <row r="1053" spans="1:1" x14ac:dyDescent="0.25">
      <c r="A1053">
        <v>1</v>
      </c>
    </row>
    <row r="1054" spans="1:1" x14ac:dyDescent="0.25">
      <c r="A1054">
        <v>0</v>
      </c>
    </row>
    <row r="1055" spans="1:1" x14ac:dyDescent="0.25">
      <c r="A1055">
        <v>1</v>
      </c>
    </row>
    <row r="1056" spans="1:1" x14ac:dyDescent="0.25">
      <c r="A1056">
        <v>1</v>
      </c>
    </row>
    <row r="1057" spans="1:1" x14ac:dyDescent="0.25">
      <c r="A1057">
        <v>1</v>
      </c>
    </row>
    <row r="1058" spans="1:1" x14ac:dyDescent="0.25">
      <c r="A1058">
        <v>0</v>
      </c>
    </row>
    <row r="1059" spans="1:1" x14ac:dyDescent="0.25">
      <c r="A1059">
        <v>1</v>
      </c>
    </row>
    <row r="1060" spans="1:1" x14ac:dyDescent="0.25">
      <c r="A1060">
        <v>0</v>
      </c>
    </row>
    <row r="1061" spans="1:1" x14ac:dyDescent="0.25">
      <c r="A1061">
        <v>1</v>
      </c>
    </row>
    <row r="1062" spans="1:1" x14ac:dyDescent="0.25">
      <c r="A1062">
        <v>0</v>
      </c>
    </row>
    <row r="1063" spans="1:1" x14ac:dyDescent="0.25">
      <c r="A1063">
        <v>1</v>
      </c>
    </row>
    <row r="1064" spans="1:1" x14ac:dyDescent="0.25">
      <c r="A1064">
        <v>1</v>
      </c>
    </row>
    <row r="1065" spans="1:1" x14ac:dyDescent="0.25">
      <c r="A1065">
        <v>1</v>
      </c>
    </row>
    <row r="1066" spans="1:1" x14ac:dyDescent="0.25">
      <c r="A1066">
        <v>0</v>
      </c>
    </row>
    <row r="1067" spans="1:1" x14ac:dyDescent="0.25">
      <c r="A1067">
        <v>1</v>
      </c>
    </row>
    <row r="1068" spans="1:1" x14ac:dyDescent="0.25">
      <c r="A1068">
        <v>0</v>
      </c>
    </row>
    <row r="1069" spans="1:1" x14ac:dyDescent="0.25">
      <c r="A1069">
        <v>0</v>
      </c>
    </row>
    <row r="1070" spans="1:1" x14ac:dyDescent="0.25">
      <c r="A1070">
        <v>1</v>
      </c>
    </row>
    <row r="1071" spans="1:1" x14ac:dyDescent="0.25">
      <c r="A1071">
        <v>0</v>
      </c>
    </row>
    <row r="1072" spans="1:1" x14ac:dyDescent="0.25">
      <c r="A1072">
        <v>0</v>
      </c>
    </row>
    <row r="1073" spans="1:1" x14ac:dyDescent="0.25">
      <c r="A1073">
        <v>0</v>
      </c>
    </row>
    <row r="1074" spans="1:1" x14ac:dyDescent="0.25">
      <c r="A1074">
        <v>0</v>
      </c>
    </row>
    <row r="1075" spans="1:1" x14ac:dyDescent="0.25">
      <c r="A1075">
        <v>0</v>
      </c>
    </row>
    <row r="1076" spans="1:1" x14ac:dyDescent="0.25">
      <c r="A1076">
        <v>1</v>
      </c>
    </row>
    <row r="1077" spans="1:1" x14ac:dyDescent="0.25">
      <c r="A1077">
        <v>0</v>
      </c>
    </row>
    <row r="1083" spans="1:1" x14ac:dyDescent="0.25">
      <c r="A1083" t="s">
        <v>101</v>
      </c>
    </row>
    <row r="1084" spans="1:1" x14ac:dyDescent="0.25">
      <c r="A1084">
        <v>1</v>
      </c>
    </row>
    <row r="1085" spans="1:1" x14ac:dyDescent="0.25">
      <c r="A1085">
        <v>0</v>
      </c>
    </row>
    <row r="1086" spans="1:1" x14ac:dyDescent="0.25">
      <c r="A1086">
        <v>1</v>
      </c>
    </row>
    <row r="1087" spans="1:1" x14ac:dyDescent="0.25">
      <c r="A1087">
        <v>1</v>
      </c>
    </row>
    <row r="1088" spans="1:1" x14ac:dyDescent="0.25">
      <c r="A1088">
        <v>0</v>
      </c>
    </row>
    <row r="1089" spans="1:1" x14ac:dyDescent="0.25">
      <c r="A1089">
        <v>1</v>
      </c>
    </row>
    <row r="1090" spans="1:1" x14ac:dyDescent="0.25">
      <c r="A1090">
        <v>0</v>
      </c>
    </row>
    <row r="1091" spans="1:1" x14ac:dyDescent="0.25">
      <c r="A1091">
        <v>1</v>
      </c>
    </row>
    <row r="1092" spans="1:1" x14ac:dyDescent="0.25">
      <c r="A1092">
        <v>1</v>
      </c>
    </row>
    <row r="1093" spans="1:1" x14ac:dyDescent="0.25">
      <c r="A1093">
        <v>0</v>
      </c>
    </row>
    <row r="1094" spans="1:1" x14ac:dyDescent="0.25">
      <c r="A1094">
        <v>0</v>
      </c>
    </row>
    <row r="1095" spans="1:1" x14ac:dyDescent="0.25">
      <c r="A1095">
        <v>0</v>
      </c>
    </row>
    <row r="1096" spans="1:1" x14ac:dyDescent="0.25">
      <c r="A1096">
        <v>1</v>
      </c>
    </row>
    <row r="1097" spans="1:1" x14ac:dyDescent="0.25">
      <c r="A1097">
        <v>1</v>
      </c>
    </row>
    <row r="1098" spans="1:1" x14ac:dyDescent="0.25">
      <c r="A1098">
        <v>0</v>
      </c>
    </row>
    <row r="1099" spans="1:1" x14ac:dyDescent="0.25">
      <c r="A1099">
        <v>1</v>
      </c>
    </row>
    <row r="1100" spans="1:1" x14ac:dyDescent="0.25">
      <c r="A1100">
        <v>1</v>
      </c>
    </row>
    <row r="1101" spans="1:1" x14ac:dyDescent="0.25">
      <c r="A1101">
        <v>0</v>
      </c>
    </row>
    <row r="1102" spans="1:1" x14ac:dyDescent="0.25">
      <c r="A1102">
        <v>1</v>
      </c>
    </row>
    <row r="1103" spans="1:1" x14ac:dyDescent="0.25">
      <c r="A1103">
        <v>1</v>
      </c>
    </row>
    <row r="1104" spans="1:1" x14ac:dyDescent="0.25">
      <c r="A1104">
        <v>0</v>
      </c>
    </row>
    <row r="1105" spans="1:1" x14ac:dyDescent="0.25">
      <c r="A1105">
        <v>1</v>
      </c>
    </row>
    <row r="1106" spans="1:1" x14ac:dyDescent="0.25">
      <c r="A1106">
        <v>1</v>
      </c>
    </row>
    <row r="1107" spans="1:1" x14ac:dyDescent="0.25">
      <c r="A1107">
        <v>0</v>
      </c>
    </row>
    <row r="1108" spans="1:1" x14ac:dyDescent="0.25">
      <c r="A1108">
        <v>0</v>
      </c>
    </row>
    <row r="1109" spans="1:1" x14ac:dyDescent="0.25">
      <c r="A1109">
        <v>0</v>
      </c>
    </row>
    <row r="1110" spans="1:1" x14ac:dyDescent="0.25">
      <c r="A1110">
        <v>1</v>
      </c>
    </row>
    <row r="1111" spans="1:1" x14ac:dyDescent="0.25">
      <c r="A1111">
        <v>1</v>
      </c>
    </row>
    <row r="1112" spans="1:1" x14ac:dyDescent="0.25">
      <c r="A1112">
        <v>1</v>
      </c>
    </row>
    <row r="1113" spans="1:1" x14ac:dyDescent="0.25">
      <c r="A1113">
        <v>1</v>
      </c>
    </row>
    <row r="1114" spans="1:1" x14ac:dyDescent="0.25">
      <c r="A1114">
        <v>1</v>
      </c>
    </row>
    <row r="1115" spans="1:1" x14ac:dyDescent="0.25">
      <c r="A1115">
        <v>0</v>
      </c>
    </row>
    <row r="1116" spans="1:1" x14ac:dyDescent="0.25">
      <c r="A1116">
        <v>1</v>
      </c>
    </row>
    <row r="1117" spans="1:1" x14ac:dyDescent="0.25">
      <c r="A1117">
        <v>0</v>
      </c>
    </row>
    <row r="1118" spans="1:1" x14ac:dyDescent="0.25">
      <c r="A1118">
        <v>1</v>
      </c>
    </row>
    <row r="1119" spans="1:1" x14ac:dyDescent="0.25">
      <c r="A1119">
        <v>1</v>
      </c>
    </row>
    <row r="1120" spans="1:1" x14ac:dyDescent="0.25">
      <c r="A1120">
        <v>1</v>
      </c>
    </row>
    <row r="1121" spans="1:1" x14ac:dyDescent="0.25">
      <c r="A1121">
        <v>1</v>
      </c>
    </row>
    <row r="1122" spans="1:1" x14ac:dyDescent="0.25">
      <c r="A1122">
        <v>1</v>
      </c>
    </row>
    <row r="1123" spans="1:1" x14ac:dyDescent="0.25">
      <c r="A1123">
        <v>1</v>
      </c>
    </row>
    <row r="1124" spans="1:1" x14ac:dyDescent="0.25">
      <c r="A1124">
        <v>1</v>
      </c>
    </row>
    <row r="1125" spans="1:1" x14ac:dyDescent="0.25">
      <c r="A1125">
        <v>1</v>
      </c>
    </row>
    <row r="1126" spans="1:1" x14ac:dyDescent="0.25">
      <c r="A1126">
        <v>0</v>
      </c>
    </row>
    <row r="1127" spans="1:1" x14ac:dyDescent="0.25">
      <c r="A1127">
        <v>0</v>
      </c>
    </row>
    <row r="1128" spans="1:1" x14ac:dyDescent="0.25">
      <c r="A1128">
        <v>1</v>
      </c>
    </row>
    <row r="1129" spans="1:1" x14ac:dyDescent="0.25">
      <c r="A1129">
        <v>1</v>
      </c>
    </row>
    <row r="1130" spans="1:1" x14ac:dyDescent="0.25">
      <c r="A1130">
        <v>1</v>
      </c>
    </row>
    <row r="1131" spans="1:1" x14ac:dyDescent="0.25">
      <c r="A1131">
        <v>0</v>
      </c>
    </row>
    <row r="1132" spans="1:1" x14ac:dyDescent="0.25">
      <c r="A1132">
        <v>1</v>
      </c>
    </row>
    <row r="1133" spans="1:1" x14ac:dyDescent="0.25">
      <c r="A1133">
        <v>0</v>
      </c>
    </row>
    <row r="1134" spans="1:1" x14ac:dyDescent="0.25">
      <c r="A1134">
        <v>1</v>
      </c>
    </row>
    <row r="1135" spans="1:1" x14ac:dyDescent="0.25">
      <c r="A1135">
        <v>0</v>
      </c>
    </row>
    <row r="1136" spans="1:1" x14ac:dyDescent="0.25">
      <c r="A1136">
        <v>1</v>
      </c>
    </row>
    <row r="1137" spans="1:1" x14ac:dyDescent="0.25">
      <c r="A1137">
        <v>0</v>
      </c>
    </row>
    <row r="1138" spans="1:1" x14ac:dyDescent="0.25">
      <c r="A1138">
        <v>1</v>
      </c>
    </row>
    <row r="1139" spans="1:1" x14ac:dyDescent="0.25">
      <c r="A1139">
        <v>1</v>
      </c>
    </row>
    <row r="1140" spans="1:1" x14ac:dyDescent="0.25">
      <c r="A1140">
        <v>1</v>
      </c>
    </row>
    <row r="1141" spans="1:1" x14ac:dyDescent="0.25">
      <c r="A1141">
        <v>1</v>
      </c>
    </row>
    <row r="1142" spans="1:1" x14ac:dyDescent="0.25">
      <c r="A1142">
        <v>1</v>
      </c>
    </row>
    <row r="1143" spans="1:1" x14ac:dyDescent="0.25">
      <c r="A1143">
        <v>1</v>
      </c>
    </row>
    <row r="1144" spans="1:1" x14ac:dyDescent="0.25">
      <c r="A1144">
        <v>0</v>
      </c>
    </row>
    <row r="1145" spans="1:1" x14ac:dyDescent="0.25">
      <c r="A1145">
        <v>1</v>
      </c>
    </row>
    <row r="1146" spans="1:1" x14ac:dyDescent="0.25">
      <c r="A1146">
        <v>0</v>
      </c>
    </row>
    <row r="1147" spans="1:1" x14ac:dyDescent="0.25">
      <c r="A1147">
        <v>0</v>
      </c>
    </row>
    <row r="1148" spans="1:1" x14ac:dyDescent="0.25">
      <c r="A1148">
        <v>0</v>
      </c>
    </row>
    <row r="1149" spans="1:1" x14ac:dyDescent="0.25">
      <c r="A1149">
        <v>1</v>
      </c>
    </row>
    <row r="1150" spans="1:1" x14ac:dyDescent="0.25">
      <c r="A1150">
        <v>1</v>
      </c>
    </row>
    <row r="1151" spans="1:1" x14ac:dyDescent="0.25">
      <c r="A1151">
        <v>1</v>
      </c>
    </row>
    <row r="1152" spans="1:1" x14ac:dyDescent="0.25">
      <c r="A1152">
        <v>0</v>
      </c>
    </row>
    <row r="1153" spans="1:1" x14ac:dyDescent="0.25">
      <c r="A1153">
        <v>0</v>
      </c>
    </row>
    <row r="1154" spans="1:1" x14ac:dyDescent="0.25">
      <c r="A1154">
        <v>0</v>
      </c>
    </row>
    <row r="1155" spans="1:1" x14ac:dyDescent="0.25">
      <c r="A1155">
        <v>1</v>
      </c>
    </row>
    <row r="1156" spans="1:1" x14ac:dyDescent="0.25">
      <c r="A1156">
        <v>1</v>
      </c>
    </row>
    <row r="1157" spans="1:1" x14ac:dyDescent="0.25">
      <c r="A1157">
        <v>1</v>
      </c>
    </row>
    <row r="1158" spans="1:1" x14ac:dyDescent="0.25">
      <c r="A1158">
        <v>0</v>
      </c>
    </row>
    <row r="1159" spans="1:1" x14ac:dyDescent="0.25">
      <c r="A1159">
        <v>0</v>
      </c>
    </row>
    <row r="1160" spans="1:1" x14ac:dyDescent="0.25">
      <c r="A1160">
        <v>1</v>
      </c>
    </row>
    <row r="1161" spans="1:1" x14ac:dyDescent="0.25">
      <c r="A1161">
        <v>1</v>
      </c>
    </row>
    <row r="1162" spans="1:1" x14ac:dyDescent="0.25">
      <c r="A1162">
        <v>1</v>
      </c>
    </row>
    <row r="1163" spans="1:1" x14ac:dyDescent="0.25">
      <c r="A1163">
        <v>1</v>
      </c>
    </row>
    <row r="1164" spans="1:1" x14ac:dyDescent="0.25">
      <c r="A1164">
        <v>0</v>
      </c>
    </row>
    <row r="1165" spans="1:1" x14ac:dyDescent="0.25">
      <c r="A1165">
        <v>1</v>
      </c>
    </row>
    <row r="1166" spans="1:1" x14ac:dyDescent="0.25">
      <c r="A1166">
        <v>0</v>
      </c>
    </row>
    <row r="1167" spans="1:1" x14ac:dyDescent="0.25">
      <c r="A1167">
        <v>0</v>
      </c>
    </row>
    <row r="1168" spans="1:1" x14ac:dyDescent="0.25">
      <c r="A1168">
        <v>0</v>
      </c>
    </row>
    <row r="1169" spans="1:1" x14ac:dyDescent="0.25">
      <c r="A1169">
        <v>0</v>
      </c>
    </row>
    <row r="1170" spans="1:1" x14ac:dyDescent="0.25">
      <c r="A1170">
        <v>1</v>
      </c>
    </row>
    <row r="1171" spans="1:1" x14ac:dyDescent="0.25">
      <c r="A1171">
        <v>0</v>
      </c>
    </row>
    <row r="1172" spans="1:1" x14ac:dyDescent="0.25">
      <c r="A1172">
        <v>0</v>
      </c>
    </row>
    <row r="1173" spans="1:1" x14ac:dyDescent="0.25">
      <c r="A1173">
        <v>0</v>
      </c>
    </row>
    <row r="1174" spans="1:1" x14ac:dyDescent="0.25">
      <c r="A1174">
        <v>0</v>
      </c>
    </row>
    <row r="1175" spans="1:1" x14ac:dyDescent="0.25">
      <c r="A1175">
        <v>1</v>
      </c>
    </row>
    <row r="1176" spans="1:1" x14ac:dyDescent="0.25">
      <c r="A1176">
        <v>0</v>
      </c>
    </row>
    <row r="1177" spans="1:1" x14ac:dyDescent="0.25">
      <c r="A1177">
        <v>1</v>
      </c>
    </row>
    <row r="1178" spans="1:1" x14ac:dyDescent="0.25">
      <c r="A1178">
        <v>0</v>
      </c>
    </row>
    <row r="1179" spans="1:1" x14ac:dyDescent="0.25">
      <c r="A1179">
        <v>1</v>
      </c>
    </row>
    <row r="1180" spans="1:1" x14ac:dyDescent="0.25">
      <c r="A1180">
        <v>1</v>
      </c>
    </row>
    <row r="1181" spans="1:1" x14ac:dyDescent="0.25">
      <c r="A1181">
        <v>1</v>
      </c>
    </row>
    <row r="1182" spans="1:1" x14ac:dyDescent="0.25">
      <c r="A1182">
        <v>0</v>
      </c>
    </row>
    <row r="1183" spans="1:1" x14ac:dyDescent="0.25">
      <c r="A1183">
        <v>1</v>
      </c>
    </row>
    <row r="1184" spans="1:1" x14ac:dyDescent="0.25">
      <c r="A1184">
        <v>1</v>
      </c>
    </row>
    <row r="1185" spans="1:1" x14ac:dyDescent="0.25">
      <c r="A1185">
        <v>0</v>
      </c>
    </row>
    <row r="1186" spans="1:1" x14ac:dyDescent="0.25">
      <c r="A1186">
        <v>0</v>
      </c>
    </row>
    <row r="1187" spans="1:1" x14ac:dyDescent="0.25">
      <c r="A1187">
        <v>1</v>
      </c>
    </row>
    <row r="1188" spans="1:1" x14ac:dyDescent="0.25">
      <c r="A1188">
        <v>0</v>
      </c>
    </row>
    <row r="1189" spans="1:1" x14ac:dyDescent="0.25">
      <c r="A1189">
        <v>0</v>
      </c>
    </row>
    <row r="1190" spans="1:1" x14ac:dyDescent="0.25">
      <c r="A1190">
        <v>1</v>
      </c>
    </row>
    <row r="1191" spans="1:1" x14ac:dyDescent="0.25">
      <c r="A1191">
        <v>0</v>
      </c>
    </row>
    <row r="1192" spans="1:1" x14ac:dyDescent="0.25">
      <c r="A1192">
        <v>1</v>
      </c>
    </row>
    <row r="1193" spans="1:1" x14ac:dyDescent="0.25">
      <c r="A1193">
        <v>1</v>
      </c>
    </row>
    <row r="1194" spans="1:1" x14ac:dyDescent="0.25">
      <c r="A1194">
        <v>1</v>
      </c>
    </row>
    <row r="1195" spans="1:1" x14ac:dyDescent="0.25">
      <c r="A1195">
        <v>1</v>
      </c>
    </row>
    <row r="1196" spans="1:1" x14ac:dyDescent="0.25">
      <c r="A1196">
        <v>1</v>
      </c>
    </row>
    <row r="1197" spans="1:1" x14ac:dyDescent="0.25">
      <c r="A1197">
        <v>0</v>
      </c>
    </row>
    <row r="1198" spans="1:1" x14ac:dyDescent="0.25">
      <c r="A1198">
        <v>0</v>
      </c>
    </row>
    <row r="1199" spans="1:1" x14ac:dyDescent="0.25">
      <c r="A1199">
        <v>1</v>
      </c>
    </row>
    <row r="1200" spans="1:1" x14ac:dyDescent="0.25">
      <c r="A1200">
        <v>0</v>
      </c>
    </row>
    <row r="1201" spans="1:1" x14ac:dyDescent="0.25">
      <c r="A1201">
        <v>0</v>
      </c>
    </row>
    <row r="1202" spans="1:1" x14ac:dyDescent="0.25">
      <c r="A1202">
        <v>1</v>
      </c>
    </row>
    <row r="1203" spans="1:1" x14ac:dyDescent="0.25">
      <c r="A1203">
        <v>0</v>
      </c>
    </row>
    <row r="1204" spans="1:1" x14ac:dyDescent="0.25">
      <c r="A1204">
        <v>0</v>
      </c>
    </row>
    <row r="1205" spans="1:1" x14ac:dyDescent="0.25">
      <c r="A1205">
        <v>0</v>
      </c>
    </row>
    <row r="1206" spans="1:1" x14ac:dyDescent="0.25">
      <c r="A1206">
        <v>1</v>
      </c>
    </row>
    <row r="1207" spans="1:1" x14ac:dyDescent="0.25">
      <c r="A1207">
        <v>0</v>
      </c>
    </row>
    <row r="1208" spans="1:1" x14ac:dyDescent="0.25">
      <c r="A1208">
        <v>1</v>
      </c>
    </row>
    <row r="1209" spans="1:1" x14ac:dyDescent="0.25">
      <c r="A1209">
        <v>0</v>
      </c>
    </row>
    <row r="1210" spans="1:1" x14ac:dyDescent="0.25">
      <c r="A1210">
        <v>0</v>
      </c>
    </row>
    <row r="1211" spans="1:1" x14ac:dyDescent="0.25">
      <c r="A1211">
        <v>1</v>
      </c>
    </row>
    <row r="1212" spans="1:1" x14ac:dyDescent="0.25">
      <c r="A1212">
        <v>1</v>
      </c>
    </row>
    <row r="1213" spans="1:1" x14ac:dyDescent="0.25">
      <c r="A1213">
        <v>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E8499-B106-4F3D-88FC-7E1DEDB6811C}">
  <dimension ref="C1:Y1024"/>
  <sheetViews>
    <sheetView zoomScale="80" workbookViewId="0">
      <selection activeCell="S15" sqref="S15"/>
    </sheetView>
  </sheetViews>
  <sheetFormatPr defaultRowHeight="13.2" x14ac:dyDescent="0.25"/>
  <cols>
    <col min="3" max="3" width="11.109375" bestFit="1" customWidth="1"/>
    <col min="5" max="7" width="5.109375" customWidth="1"/>
    <col min="8" max="8" width="12.88671875" bestFit="1" customWidth="1"/>
    <col min="10" max="10" width="11.109375" bestFit="1" customWidth="1"/>
    <col min="12" max="16" width="5.109375" customWidth="1"/>
    <col min="17" max="17" width="12.21875" bestFit="1" customWidth="1"/>
    <col min="19" max="19" width="11.109375" bestFit="1" customWidth="1"/>
    <col min="21" max="21" width="14.44140625" style="37" customWidth="1"/>
    <col min="22" max="22" width="12.21875" style="37" bestFit="1" customWidth="1"/>
    <col min="26" max="26" width="9" customWidth="1"/>
  </cols>
  <sheetData>
    <row r="1" spans="3:25" x14ac:dyDescent="0.25">
      <c r="E1" s="2"/>
      <c r="F1" s="2"/>
      <c r="G1" s="2"/>
      <c r="H1" s="22"/>
      <c r="L1" s="2"/>
      <c r="M1" s="2"/>
      <c r="N1" s="2"/>
      <c r="O1" s="2"/>
      <c r="P1" s="2"/>
      <c r="Q1" s="22"/>
      <c r="R1" s="22"/>
      <c r="U1" s="71"/>
      <c r="V1" s="71"/>
      <c r="W1" s="22"/>
    </row>
    <row r="2" spans="3:25" ht="13.8" thickBot="1" x14ac:dyDescent="0.3">
      <c r="E2" s="111" t="s">
        <v>195</v>
      </c>
      <c r="F2" s="106"/>
      <c r="G2" s="106"/>
      <c r="H2" s="22"/>
      <c r="L2" s="111" t="s">
        <v>195</v>
      </c>
      <c r="M2" s="106"/>
      <c r="N2" s="106"/>
      <c r="O2" s="106"/>
      <c r="P2" s="106"/>
      <c r="Q2" s="22"/>
      <c r="R2" s="22"/>
      <c r="U2" s="71"/>
      <c r="V2" s="71"/>
      <c r="W2" s="22"/>
      <c r="X2" t="s">
        <v>230</v>
      </c>
    </row>
    <row r="3" spans="3:25" ht="14.4" thickBot="1" x14ac:dyDescent="0.3">
      <c r="C3" s="5" t="s">
        <v>6</v>
      </c>
      <c r="D3" s="5" t="s">
        <v>7</v>
      </c>
      <c r="E3" s="5">
        <v>1</v>
      </c>
      <c r="F3" s="5">
        <v>2</v>
      </c>
      <c r="G3" s="5">
        <v>3</v>
      </c>
      <c r="H3" s="10" t="s">
        <v>239</v>
      </c>
      <c r="J3" s="5" t="s">
        <v>6</v>
      </c>
      <c r="K3" s="5" t="s">
        <v>7</v>
      </c>
      <c r="L3" s="5">
        <v>1</v>
      </c>
      <c r="M3" s="5">
        <v>2</v>
      </c>
      <c r="N3" s="5">
        <v>3</v>
      </c>
      <c r="O3" s="5">
        <v>4</v>
      </c>
      <c r="P3" s="5">
        <v>5</v>
      </c>
      <c r="Q3" s="10" t="s">
        <v>238</v>
      </c>
      <c r="R3" s="22"/>
      <c r="S3" s="42" t="s">
        <v>6</v>
      </c>
      <c r="T3" s="42" t="s">
        <v>7</v>
      </c>
      <c r="U3" s="47" t="s">
        <v>239</v>
      </c>
      <c r="V3" s="47" t="s">
        <v>238</v>
      </c>
      <c r="W3" s="22"/>
      <c r="X3" t="s">
        <v>226</v>
      </c>
    </row>
    <row r="4" spans="3:25" ht="14.4" thickBot="1" x14ac:dyDescent="0.3">
      <c r="C4" s="114" t="s">
        <v>18</v>
      </c>
      <c r="D4" s="9">
        <v>2018</v>
      </c>
      <c r="E4" s="9">
        <v>1</v>
      </c>
      <c r="F4" s="9">
        <v>1</v>
      </c>
      <c r="G4" s="9">
        <v>1</v>
      </c>
      <c r="H4" s="10">
        <v>1</v>
      </c>
      <c r="J4" s="114" t="s">
        <v>18</v>
      </c>
      <c r="K4" s="9">
        <v>2018</v>
      </c>
      <c r="L4" s="9">
        <v>1</v>
      </c>
      <c r="M4" s="9">
        <v>1</v>
      </c>
      <c r="N4" s="9">
        <v>1</v>
      </c>
      <c r="O4" s="9">
        <v>1</v>
      </c>
      <c r="P4" s="9">
        <v>1</v>
      </c>
      <c r="Q4" s="10">
        <v>1</v>
      </c>
      <c r="R4" s="73"/>
      <c r="S4" s="115" t="s">
        <v>18</v>
      </c>
      <c r="T4" s="43">
        <v>2018</v>
      </c>
      <c r="U4" s="44">
        <v>1</v>
      </c>
      <c r="V4" s="44">
        <v>1</v>
      </c>
      <c r="W4" s="22"/>
      <c r="X4" s="2">
        <v>1</v>
      </c>
      <c r="Y4" t="s">
        <v>227</v>
      </c>
    </row>
    <row r="5" spans="3:25" ht="14.4" thickBot="1" x14ac:dyDescent="0.3">
      <c r="C5" s="109"/>
      <c r="D5" s="9">
        <v>2019</v>
      </c>
      <c r="E5" s="9">
        <v>1</v>
      </c>
      <c r="F5" s="9">
        <v>1</v>
      </c>
      <c r="G5" s="9">
        <v>1</v>
      </c>
      <c r="H5" s="10">
        <v>1</v>
      </c>
      <c r="J5" s="109"/>
      <c r="K5" s="9">
        <v>2019</v>
      </c>
      <c r="L5" s="9">
        <v>1</v>
      </c>
      <c r="M5" s="9">
        <v>1</v>
      </c>
      <c r="N5" s="9">
        <v>1</v>
      </c>
      <c r="O5" s="9">
        <v>1</v>
      </c>
      <c r="P5" s="9">
        <v>1</v>
      </c>
      <c r="Q5" s="10">
        <v>1</v>
      </c>
      <c r="R5" s="73"/>
      <c r="S5" s="116"/>
      <c r="T5" s="43">
        <v>2019</v>
      </c>
      <c r="U5" s="44">
        <v>1</v>
      </c>
      <c r="V5" s="44">
        <v>1</v>
      </c>
      <c r="W5" s="22"/>
      <c r="X5" s="2">
        <v>2</v>
      </c>
      <c r="Y5" t="s">
        <v>228</v>
      </c>
    </row>
    <row r="6" spans="3:25" ht="14.4" thickBot="1" x14ac:dyDescent="0.3">
      <c r="C6" s="109"/>
      <c r="D6" s="9">
        <v>2020</v>
      </c>
      <c r="E6" s="9">
        <v>1</v>
      </c>
      <c r="F6" s="9">
        <v>1</v>
      </c>
      <c r="G6" s="9">
        <v>1</v>
      </c>
      <c r="H6" s="10">
        <v>1</v>
      </c>
      <c r="J6" s="109"/>
      <c r="K6" s="9">
        <v>2020</v>
      </c>
      <c r="L6" s="9">
        <v>1</v>
      </c>
      <c r="M6" s="9">
        <v>1</v>
      </c>
      <c r="N6" s="9">
        <v>1</v>
      </c>
      <c r="O6" s="9">
        <v>1</v>
      </c>
      <c r="P6" s="9">
        <v>1</v>
      </c>
      <c r="Q6" s="10">
        <v>1</v>
      </c>
      <c r="R6" s="73"/>
      <c r="S6" s="116"/>
      <c r="T6" s="43">
        <v>2020</v>
      </c>
      <c r="U6" s="44">
        <v>1</v>
      </c>
      <c r="V6" s="44">
        <v>1</v>
      </c>
      <c r="W6" s="22"/>
      <c r="X6" s="2">
        <v>3</v>
      </c>
      <c r="Y6" t="s">
        <v>229</v>
      </c>
    </row>
    <row r="7" spans="3:25" ht="14.4" thickBot="1" x14ac:dyDescent="0.3">
      <c r="C7" s="109"/>
      <c r="D7" s="9">
        <v>2021</v>
      </c>
      <c r="E7" s="9">
        <v>1</v>
      </c>
      <c r="F7" s="9">
        <v>1</v>
      </c>
      <c r="G7" s="9">
        <v>1</v>
      </c>
      <c r="H7" s="10">
        <v>1</v>
      </c>
      <c r="J7" s="109"/>
      <c r="K7" s="9">
        <v>2021</v>
      </c>
      <c r="L7" s="9">
        <v>1</v>
      </c>
      <c r="M7" s="9">
        <v>1</v>
      </c>
      <c r="N7" s="9">
        <v>1</v>
      </c>
      <c r="O7" s="9">
        <v>1</v>
      </c>
      <c r="P7" s="9">
        <v>1</v>
      </c>
      <c r="Q7" s="10">
        <v>1</v>
      </c>
      <c r="R7" s="22"/>
      <c r="S7" s="116"/>
      <c r="T7" s="43">
        <v>2021</v>
      </c>
      <c r="U7" s="44">
        <v>1</v>
      </c>
      <c r="V7" s="44">
        <v>1</v>
      </c>
      <c r="W7" s="22"/>
    </row>
    <row r="8" spans="3:25" ht="14.4" thickBot="1" x14ac:dyDescent="0.3">
      <c r="C8" s="110"/>
      <c r="D8" s="9">
        <v>2022</v>
      </c>
      <c r="E8" s="9">
        <v>1</v>
      </c>
      <c r="F8" s="9">
        <v>1</v>
      </c>
      <c r="G8" s="9">
        <v>1</v>
      </c>
      <c r="H8" s="10">
        <v>1</v>
      </c>
      <c r="J8" s="110"/>
      <c r="K8" s="9">
        <v>2022</v>
      </c>
      <c r="L8" s="9">
        <v>1</v>
      </c>
      <c r="M8" s="9">
        <v>1</v>
      </c>
      <c r="N8" s="9">
        <v>1</v>
      </c>
      <c r="O8" s="9">
        <v>0</v>
      </c>
      <c r="P8" s="9">
        <v>0</v>
      </c>
      <c r="Q8" s="10">
        <v>0.6</v>
      </c>
      <c r="R8" s="22"/>
      <c r="S8" s="116"/>
      <c r="T8" s="43">
        <v>2022</v>
      </c>
      <c r="U8" s="44">
        <v>1</v>
      </c>
      <c r="V8" s="44">
        <v>0.6</v>
      </c>
      <c r="W8" s="22"/>
      <c r="X8" t="s">
        <v>231</v>
      </c>
    </row>
    <row r="9" spans="3:25" ht="14.4" thickBot="1" x14ac:dyDescent="0.3">
      <c r="E9" s="2"/>
      <c r="F9" s="2"/>
      <c r="G9" s="2"/>
      <c r="H9" s="22"/>
      <c r="L9" s="2"/>
      <c r="M9" s="2"/>
      <c r="N9" s="2"/>
      <c r="O9" s="2"/>
      <c r="P9" s="2"/>
      <c r="Q9" s="22"/>
      <c r="R9" s="22"/>
      <c r="S9" s="45"/>
      <c r="T9" s="42" t="s">
        <v>219</v>
      </c>
      <c r="U9" s="47">
        <f>SUM(U4:U8)/5</f>
        <v>1</v>
      </c>
      <c r="V9" s="47">
        <f>SUM(V4:V8)/5</f>
        <v>0.91999999999999993</v>
      </c>
      <c r="W9" s="22"/>
    </row>
    <row r="10" spans="3:25" ht="14.4" thickBot="1" x14ac:dyDescent="0.3">
      <c r="C10" s="108" t="s">
        <v>39</v>
      </c>
      <c r="D10" s="9">
        <v>2018</v>
      </c>
      <c r="E10" s="9">
        <v>1</v>
      </c>
      <c r="F10" s="9">
        <v>1</v>
      </c>
      <c r="G10" s="9">
        <v>1</v>
      </c>
      <c r="H10" s="10">
        <v>1</v>
      </c>
      <c r="J10" s="108" t="s">
        <v>39</v>
      </c>
      <c r="K10" s="9">
        <v>2018</v>
      </c>
      <c r="L10" s="9">
        <v>1</v>
      </c>
      <c r="M10" s="9">
        <v>1</v>
      </c>
      <c r="N10" s="9">
        <v>1</v>
      </c>
      <c r="O10" s="9">
        <v>0</v>
      </c>
      <c r="P10" s="9">
        <v>0</v>
      </c>
      <c r="Q10" s="10">
        <v>0.6</v>
      </c>
      <c r="R10" s="22"/>
      <c r="S10" s="115" t="s">
        <v>39</v>
      </c>
      <c r="T10" s="43">
        <v>2018</v>
      </c>
      <c r="U10" s="44">
        <v>1</v>
      </c>
      <c r="V10" s="44">
        <v>0.6</v>
      </c>
      <c r="W10" s="22"/>
      <c r="X10" t="s">
        <v>232</v>
      </c>
    </row>
    <row r="11" spans="3:25" ht="14.4" thickBot="1" x14ac:dyDescent="0.3">
      <c r="C11" s="109"/>
      <c r="D11" s="9">
        <v>2019</v>
      </c>
      <c r="E11" s="9">
        <v>1</v>
      </c>
      <c r="F11" s="9">
        <v>1</v>
      </c>
      <c r="G11" s="9">
        <v>1</v>
      </c>
      <c r="H11" s="10">
        <v>1</v>
      </c>
      <c r="J11" s="109"/>
      <c r="K11" s="9">
        <v>2019</v>
      </c>
      <c r="L11" s="9">
        <v>1</v>
      </c>
      <c r="M11" s="9">
        <v>1</v>
      </c>
      <c r="N11" s="9">
        <v>1</v>
      </c>
      <c r="O11" s="9">
        <v>1</v>
      </c>
      <c r="P11" s="9">
        <v>0</v>
      </c>
      <c r="Q11" s="10">
        <v>0.8</v>
      </c>
      <c r="R11" s="73"/>
      <c r="S11" s="116"/>
      <c r="T11" s="43">
        <v>2019</v>
      </c>
      <c r="U11" s="44">
        <v>1</v>
      </c>
      <c r="V11" s="44">
        <v>0.8</v>
      </c>
      <c r="W11" s="22"/>
      <c r="X11" s="2">
        <v>1</v>
      </c>
      <c r="Y11" s="37" t="s">
        <v>233</v>
      </c>
    </row>
    <row r="12" spans="3:25" ht="14.4" thickBot="1" x14ac:dyDescent="0.3">
      <c r="C12" s="109"/>
      <c r="D12" s="9">
        <v>2020</v>
      </c>
      <c r="E12" s="9">
        <v>1</v>
      </c>
      <c r="F12" s="9">
        <v>1</v>
      </c>
      <c r="G12" s="9">
        <v>1</v>
      </c>
      <c r="H12" s="10">
        <v>1</v>
      </c>
      <c r="J12" s="109"/>
      <c r="K12" s="9">
        <v>2020</v>
      </c>
      <c r="L12" s="9">
        <v>1</v>
      </c>
      <c r="M12" s="9">
        <v>1</v>
      </c>
      <c r="N12" s="9">
        <v>1</v>
      </c>
      <c r="O12" s="9">
        <v>1</v>
      </c>
      <c r="P12" s="9">
        <v>1</v>
      </c>
      <c r="Q12" s="10">
        <v>1</v>
      </c>
      <c r="R12" s="73"/>
      <c r="S12" s="116"/>
      <c r="T12" s="43">
        <v>2020</v>
      </c>
      <c r="U12" s="44">
        <v>1</v>
      </c>
      <c r="V12" s="44">
        <v>1</v>
      </c>
      <c r="W12" s="22"/>
      <c r="X12" s="2">
        <v>2</v>
      </c>
      <c r="Y12" s="37" t="s">
        <v>234</v>
      </c>
    </row>
    <row r="13" spans="3:25" ht="14.4" thickBot="1" x14ac:dyDescent="0.3">
      <c r="C13" s="109"/>
      <c r="D13" s="9">
        <v>2021</v>
      </c>
      <c r="E13" s="9">
        <v>1</v>
      </c>
      <c r="F13" s="9">
        <v>1</v>
      </c>
      <c r="G13" s="9">
        <v>1</v>
      </c>
      <c r="H13" s="10">
        <v>1</v>
      </c>
      <c r="J13" s="109"/>
      <c r="K13" s="9">
        <v>2021</v>
      </c>
      <c r="L13" s="9">
        <v>1</v>
      </c>
      <c r="M13" s="9">
        <v>1</v>
      </c>
      <c r="N13" s="9">
        <v>1</v>
      </c>
      <c r="O13" s="9">
        <v>1</v>
      </c>
      <c r="P13" s="9">
        <v>1</v>
      </c>
      <c r="Q13" s="10">
        <v>1</v>
      </c>
      <c r="R13" s="73"/>
      <c r="S13" s="116"/>
      <c r="T13" s="43">
        <v>2021</v>
      </c>
      <c r="U13" s="44">
        <v>1</v>
      </c>
      <c r="V13" s="44">
        <v>1</v>
      </c>
      <c r="W13" s="22"/>
      <c r="X13" s="2">
        <v>3</v>
      </c>
      <c r="Y13" s="37" t="s">
        <v>235</v>
      </c>
    </row>
    <row r="14" spans="3:25" ht="14.4" thickBot="1" x14ac:dyDescent="0.3">
      <c r="C14" s="110"/>
      <c r="D14" s="9">
        <v>2022</v>
      </c>
      <c r="E14" s="9">
        <v>1</v>
      </c>
      <c r="F14" s="9">
        <v>1</v>
      </c>
      <c r="G14" s="9">
        <v>1</v>
      </c>
      <c r="H14" s="10">
        <v>1</v>
      </c>
      <c r="J14" s="110"/>
      <c r="K14" s="9">
        <v>2022</v>
      </c>
      <c r="L14" s="9">
        <v>1</v>
      </c>
      <c r="M14" s="9">
        <v>1</v>
      </c>
      <c r="N14" s="9">
        <v>1</v>
      </c>
      <c r="O14" s="9">
        <v>1</v>
      </c>
      <c r="P14" s="9">
        <v>1</v>
      </c>
      <c r="Q14" s="10">
        <v>1</v>
      </c>
      <c r="R14" s="73"/>
      <c r="S14" s="116"/>
      <c r="T14" s="43">
        <v>2022</v>
      </c>
      <c r="U14" s="44">
        <v>1</v>
      </c>
      <c r="V14" s="44">
        <v>1</v>
      </c>
      <c r="W14" s="22"/>
      <c r="X14" s="2">
        <v>4</v>
      </c>
      <c r="Y14" s="37" t="s">
        <v>236</v>
      </c>
    </row>
    <row r="15" spans="3:25" ht="14.4" thickBot="1" x14ac:dyDescent="0.3">
      <c r="E15" s="2"/>
      <c r="F15" s="2"/>
      <c r="G15" s="2"/>
      <c r="H15" s="22"/>
      <c r="L15" s="2"/>
      <c r="M15" s="2"/>
      <c r="N15" s="2"/>
      <c r="O15" s="2"/>
      <c r="P15" s="2"/>
      <c r="Q15" s="22"/>
      <c r="R15" s="22"/>
      <c r="S15" s="45"/>
      <c r="T15" s="42" t="s">
        <v>219</v>
      </c>
      <c r="U15" s="47">
        <f>SUM(U10:U14)/5</f>
        <v>1</v>
      </c>
      <c r="V15" s="47">
        <f>SUM(V10:V14)/5</f>
        <v>0.88000000000000012</v>
      </c>
      <c r="W15" s="22"/>
    </row>
    <row r="16" spans="3:25" ht="14.4" thickBot="1" x14ac:dyDescent="0.3">
      <c r="C16" s="108" t="s">
        <v>60</v>
      </c>
      <c r="D16" s="9">
        <v>2018</v>
      </c>
      <c r="E16" s="9">
        <v>1</v>
      </c>
      <c r="F16" s="9">
        <v>1</v>
      </c>
      <c r="G16" s="9">
        <v>1</v>
      </c>
      <c r="H16" s="10">
        <v>1</v>
      </c>
      <c r="J16" s="108" t="s">
        <v>60</v>
      </c>
      <c r="K16" s="9">
        <v>2018</v>
      </c>
      <c r="L16" s="9">
        <v>1</v>
      </c>
      <c r="M16" s="9">
        <v>1</v>
      </c>
      <c r="N16" s="9">
        <v>1</v>
      </c>
      <c r="O16" s="9">
        <v>1</v>
      </c>
      <c r="P16" s="9">
        <v>0</v>
      </c>
      <c r="Q16" s="10">
        <v>0.8</v>
      </c>
      <c r="R16" s="22"/>
      <c r="S16" s="115" t="s">
        <v>60</v>
      </c>
      <c r="T16" s="43">
        <v>2018</v>
      </c>
      <c r="U16" s="44">
        <v>1</v>
      </c>
      <c r="V16" s="44">
        <v>0.8</v>
      </c>
      <c r="W16" s="22"/>
      <c r="X16" s="2">
        <v>5</v>
      </c>
      <c r="Y16" s="37" t="s">
        <v>237</v>
      </c>
    </row>
    <row r="17" spans="3:23" ht="14.4" thickBot="1" x14ac:dyDescent="0.3">
      <c r="C17" s="109"/>
      <c r="D17" s="9">
        <v>2019</v>
      </c>
      <c r="E17" s="9">
        <v>1</v>
      </c>
      <c r="F17" s="9">
        <v>1</v>
      </c>
      <c r="G17" s="9">
        <v>0</v>
      </c>
      <c r="H17" s="10">
        <v>0.66666666666666663</v>
      </c>
      <c r="J17" s="109"/>
      <c r="K17" s="9">
        <v>2019</v>
      </c>
      <c r="L17" s="9">
        <v>1</v>
      </c>
      <c r="M17" s="9">
        <v>1</v>
      </c>
      <c r="N17" s="9">
        <v>0</v>
      </c>
      <c r="O17" s="9">
        <v>1</v>
      </c>
      <c r="P17" s="9">
        <v>1</v>
      </c>
      <c r="Q17" s="10">
        <v>0.8</v>
      </c>
      <c r="R17" s="22"/>
      <c r="S17" s="116"/>
      <c r="T17" s="43">
        <v>2019</v>
      </c>
      <c r="U17" s="44">
        <v>0.66666666666666663</v>
      </c>
      <c r="V17" s="44">
        <v>0.8</v>
      </c>
      <c r="W17" s="22"/>
    </row>
    <row r="18" spans="3:23" ht="14.4" thickBot="1" x14ac:dyDescent="0.3">
      <c r="C18" s="109"/>
      <c r="D18" s="9">
        <v>2020</v>
      </c>
      <c r="E18" s="9">
        <v>1</v>
      </c>
      <c r="F18" s="9">
        <v>1</v>
      </c>
      <c r="G18" s="9">
        <v>0</v>
      </c>
      <c r="H18" s="10">
        <v>0.66666666666666663</v>
      </c>
      <c r="J18" s="109"/>
      <c r="K18" s="9">
        <v>2020</v>
      </c>
      <c r="L18" s="9">
        <v>1</v>
      </c>
      <c r="M18" s="9">
        <v>1</v>
      </c>
      <c r="N18" s="9">
        <v>0</v>
      </c>
      <c r="O18" s="9">
        <v>0</v>
      </c>
      <c r="P18" s="9">
        <v>1</v>
      </c>
      <c r="Q18" s="10">
        <v>0.6</v>
      </c>
      <c r="R18" s="22"/>
      <c r="S18" s="116"/>
      <c r="T18" s="43">
        <v>2020</v>
      </c>
      <c r="U18" s="44">
        <v>0.66666666666666663</v>
      </c>
      <c r="V18" s="44">
        <v>0.6</v>
      </c>
      <c r="W18" s="22"/>
    </row>
    <row r="19" spans="3:23" ht="14.4" thickBot="1" x14ac:dyDescent="0.3">
      <c r="C19" s="109"/>
      <c r="D19" s="9">
        <v>2021</v>
      </c>
      <c r="E19" s="9">
        <v>1</v>
      </c>
      <c r="F19" s="9">
        <v>1</v>
      </c>
      <c r="G19" s="9">
        <v>1</v>
      </c>
      <c r="H19" s="10">
        <v>1</v>
      </c>
      <c r="J19" s="109"/>
      <c r="K19" s="9">
        <v>2021</v>
      </c>
      <c r="L19" s="9">
        <v>1</v>
      </c>
      <c r="M19" s="9">
        <v>1</v>
      </c>
      <c r="N19" s="9">
        <v>1</v>
      </c>
      <c r="O19" s="9">
        <v>1</v>
      </c>
      <c r="P19" s="9">
        <v>1</v>
      </c>
      <c r="Q19" s="10">
        <v>1</v>
      </c>
      <c r="R19" s="22"/>
      <c r="S19" s="116"/>
      <c r="T19" s="43">
        <v>2021</v>
      </c>
      <c r="U19" s="44">
        <v>1</v>
      </c>
      <c r="V19" s="44">
        <v>1</v>
      </c>
      <c r="W19" s="22"/>
    </row>
    <row r="20" spans="3:23" ht="14.4" thickBot="1" x14ac:dyDescent="0.3">
      <c r="C20" s="110"/>
      <c r="D20" s="9">
        <v>2022</v>
      </c>
      <c r="E20" s="9">
        <v>1</v>
      </c>
      <c r="F20" s="9">
        <v>1</v>
      </c>
      <c r="G20" s="9">
        <v>0</v>
      </c>
      <c r="H20" s="10">
        <v>0.66666666666666663</v>
      </c>
      <c r="J20" s="110"/>
      <c r="K20" s="9">
        <v>2022</v>
      </c>
      <c r="L20" s="9">
        <v>1</v>
      </c>
      <c r="M20" s="9">
        <v>1</v>
      </c>
      <c r="N20" s="9">
        <v>0</v>
      </c>
      <c r="O20" s="9">
        <v>1</v>
      </c>
      <c r="P20" s="9">
        <v>1</v>
      </c>
      <c r="Q20" s="10">
        <v>0.8</v>
      </c>
      <c r="R20" s="22"/>
      <c r="S20" s="116"/>
      <c r="T20" s="43">
        <v>2022</v>
      </c>
      <c r="U20" s="44">
        <v>0.66666666666666663</v>
      </c>
      <c r="V20" s="44">
        <v>0.8</v>
      </c>
      <c r="W20" s="22"/>
    </row>
    <row r="21" spans="3:23" ht="14.4" thickBot="1" x14ac:dyDescent="0.3">
      <c r="E21" s="2"/>
      <c r="F21" s="2"/>
      <c r="G21" s="2"/>
      <c r="H21" s="22"/>
      <c r="L21" s="2"/>
      <c r="M21" s="2"/>
      <c r="N21" s="2"/>
      <c r="O21" s="2"/>
      <c r="P21" s="2"/>
      <c r="Q21" s="22"/>
      <c r="R21" s="22"/>
      <c r="S21" s="45"/>
      <c r="T21" s="42" t="s">
        <v>219</v>
      </c>
      <c r="U21" s="47">
        <f>SUM(U16:U20)/5</f>
        <v>0.79999999999999993</v>
      </c>
      <c r="V21" s="47">
        <f>SUM(V16:V20)/5</f>
        <v>0.8</v>
      </c>
      <c r="W21" s="22"/>
    </row>
    <row r="22" spans="3:23" ht="14.4" thickBot="1" x14ac:dyDescent="0.3">
      <c r="C22" s="108" t="s">
        <v>81</v>
      </c>
      <c r="D22" s="9">
        <v>2018</v>
      </c>
      <c r="E22" s="9">
        <v>1</v>
      </c>
      <c r="F22" s="9">
        <v>1</v>
      </c>
      <c r="G22" s="9">
        <v>0</v>
      </c>
      <c r="H22" s="10">
        <v>0.66666666666666663</v>
      </c>
      <c r="J22" s="108" t="s">
        <v>81</v>
      </c>
      <c r="K22" s="9">
        <v>2018</v>
      </c>
      <c r="L22" s="9">
        <v>1</v>
      </c>
      <c r="M22" s="9">
        <v>1</v>
      </c>
      <c r="N22" s="9">
        <v>0</v>
      </c>
      <c r="O22" s="9">
        <v>1</v>
      </c>
      <c r="P22" s="9">
        <v>0</v>
      </c>
      <c r="Q22" s="10">
        <v>0.6</v>
      </c>
      <c r="R22" s="22"/>
      <c r="S22" s="115" t="s">
        <v>81</v>
      </c>
      <c r="T22" s="43">
        <v>2018</v>
      </c>
      <c r="U22" s="44">
        <v>0.66666666666666663</v>
      </c>
      <c r="V22" s="44">
        <v>0.6</v>
      </c>
      <c r="W22" s="22"/>
    </row>
    <row r="23" spans="3:23" ht="14.4" thickBot="1" x14ac:dyDescent="0.3">
      <c r="C23" s="109"/>
      <c r="D23" s="9">
        <v>2019</v>
      </c>
      <c r="E23" s="9">
        <v>1</v>
      </c>
      <c r="F23" s="9">
        <v>1</v>
      </c>
      <c r="G23" s="9">
        <v>1</v>
      </c>
      <c r="H23" s="10">
        <v>1</v>
      </c>
      <c r="J23" s="109"/>
      <c r="K23" s="9">
        <v>2019</v>
      </c>
      <c r="L23" s="9">
        <v>1</v>
      </c>
      <c r="M23" s="9">
        <v>1</v>
      </c>
      <c r="N23" s="9">
        <v>1</v>
      </c>
      <c r="O23" s="9">
        <v>0</v>
      </c>
      <c r="P23" s="9">
        <v>1</v>
      </c>
      <c r="Q23" s="10">
        <v>0.8</v>
      </c>
      <c r="R23" s="22"/>
      <c r="S23" s="116"/>
      <c r="T23" s="43">
        <v>2019</v>
      </c>
      <c r="U23" s="44">
        <v>1</v>
      </c>
      <c r="V23" s="44">
        <v>0.8</v>
      </c>
      <c r="W23" s="22"/>
    </row>
    <row r="24" spans="3:23" ht="14.4" thickBot="1" x14ac:dyDescent="0.3">
      <c r="C24" s="109"/>
      <c r="D24" s="9">
        <v>2020</v>
      </c>
      <c r="E24" s="9">
        <v>1</v>
      </c>
      <c r="F24" s="9">
        <v>1</v>
      </c>
      <c r="G24" s="9">
        <v>0</v>
      </c>
      <c r="H24" s="10">
        <v>0.66666666666666663</v>
      </c>
      <c r="J24" s="109"/>
      <c r="K24" s="9">
        <v>2020</v>
      </c>
      <c r="L24" s="9">
        <v>1</v>
      </c>
      <c r="M24" s="9">
        <v>1</v>
      </c>
      <c r="N24" s="9">
        <v>0</v>
      </c>
      <c r="O24" s="9">
        <v>1</v>
      </c>
      <c r="P24" s="9">
        <v>1</v>
      </c>
      <c r="Q24" s="10">
        <v>0.8</v>
      </c>
      <c r="R24" s="22"/>
      <c r="S24" s="116"/>
      <c r="T24" s="43">
        <v>2020</v>
      </c>
      <c r="U24" s="44">
        <v>0.66666666666666663</v>
      </c>
      <c r="V24" s="44">
        <v>0.8</v>
      </c>
      <c r="W24" s="22"/>
    </row>
    <row r="25" spans="3:23" ht="14.4" thickBot="1" x14ac:dyDescent="0.3">
      <c r="C25" s="109"/>
      <c r="D25" s="9">
        <v>2021</v>
      </c>
      <c r="E25" s="9">
        <v>1</v>
      </c>
      <c r="F25" s="9">
        <v>1</v>
      </c>
      <c r="G25" s="9">
        <v>1</v>
      </c>
      <c r="H25" s="10">
        <v>1</v>
      </c>
      <c r="J25" s="109"/>
      <c r="K25" s="9">
        <v>2021</v>
      </c>
      <c r="L25" s="9">
        <v>1</v>
      </c>
      <c r="M25" s="9">
        <v>1</v>
      </c>
      <c r="N25" s="9">
        <v>1</v>
      </c>
      <c r="O25" s="9">
        <v>1</v>
      </c>
      <c r="P25" s="9">
        <v>0</v>
      </c>
      <c r="Q25" s="10">
        <v>0.8</v>
      </c>
      <c r="R25" s="22"/>
      <c r="S25" s="116"/>
      <c r="T25" s="43">
        <v>2021</v>
      </c>
      <c r="U25" s="44">
        <v>1</v>
      </c>
      <c r="V25" s="44">
        <v>0.8</v>
      </c>
      <c r="W25" s="22"/>
    </row>
    <row r="26" spans="3:23" ht="14.4" thickBot="1" x14ac:dyDescent="0.3">
      <c r="C26" s="110"/>
      <c r="D26" s="9">
        <v>2022</v>
      </c>
      <c r="E26" s="9">
        <v>1</v>
      </c>
      <c r="F26" s="9">
        <v>1</v>
      </c>
      <c r="G26" s="9">
        <v>0</v>
      </c>
      <c r="H26" s="10">
        <v>0.66666666666666663</v>
      </c>
      <c r="J26" s="110"/>
      <c r="K26" s="9">
        <v>2022</v>
      </c>
      <c r="L26" s="9">
        <v>1</v>
      </c>
      <c r="M26" s="9">
        <v>1</v>
      </c>
      <c r="N26" s="9">
        <v>0</v>
      </c>
      <c r="O26" s="9">
        <v>1</v>
      </c>
      <c r="P26" s="9">
        <v>0</v>
      </c>
      <c r="Q26" s="10">
        <v>0.6</v>
      </c>
      <c r="R26" s="22"/>
      <c r="S26" s="116"/>
      <c r="T26" s="43">
        <v>2022</v>
      </c>
      <c r="U26" s="44">
        <v>0.66666666666666663</v>
      </c>
      <c r="V26" s="44">
        <v>0.6</v>
      </c>
      <c r="W26" s="22"/>
    </row>
    <row r="27" spans="3:23" ht="14.4" thickBot="1" x14ac:dyDescent="0.3">
      <c r="E27" s="2"/>
      <c r="F27" s="2"/>
      <c r="G27" s="2"/>
      <c r="H27" s="22"/>
      <c r="L27" s="2"/>
      <c r="M27" s="2"/>
      <c r="N27" s="2"/>
      <c r="O27" s="2"/>
      <c r="P27" s="2"/>
      <c r="Q27" s="22"/>
      <c r="R27" s="22"/>
      <c r="S27" s="45"/>
      <c r="T27" s="42" t="s">
        <v>219</v>
      </c>
      <c r="U27" s="47">
        <f>SUM(U22:U26)/5</f>
        <v>0.79999999999999993</v>
      </c>
      <c r="V27" s="47">
        <f>SUM(V22:V26)/5</f>
        <v>0.72</v>
      </c>
      <c r="W27" s="22"/>
    </row>
    <row r="28" spans="3:23" ht="14.4" thickBot="1" x14ac:dyDescent="0.3">
      <c r="C28" s="108" t="s">
        <v>98</v>
      </c>
      <c r="D28" s="9">
        <v>2018</v>
      </c>
      <c r="E28" s="9">
        <v>1</v>
      </c>
      <c r="F28" s="9">
        <v>1</v>
      </c>
      <c r="G28" s="9">
        <v>0</v>
      </c>
      <c r="H28" s="10">
        <v>0.66666666666666663</v>
      </c>
      <c r="J28" s="108" t="s">
        <v>98</v>
      </c>
      <c r="K28" s="9">
        <v>2018</v>
      </c>
      <c r="L28" s="9">
        <v>1</v>
      </c>
      <c r="M28" s="9">
        <v>1</v>
      </c>
      <c r="N28" s="9">
        <v>0</v>
      </c>
      <c r="O28" s="9">
        <v>0</v>
      </c>
      <c r="P28" s="9">
        <v>0</v>
      </c>
      <c r="Q28" s="10">
        <v>0.4</v>
      </c>
      <c r="R28" s="22"/>
      <c r="S28" s="115" t="s">
        <v>98</v>
      </c>
      <c r="T28" s="43">
        <v>2018</v>
      </c>
      <c r="U28" s="44">
        <v>0.66666666666666663</v>
      </c>
      <c r="V28" s="44">
        <v>0.4</v>
      </c>
      <c r="W28" s="22"/>
    </row>
    <row r="29" spans="3:23" ht="14.4" thickBot="1" x14ac:dyDescent="0.3">
      <c r="C29" s="109"/>
      <c r="D29" s="9">
        <v>2019</v>
      </c>
      <c r="E29" s="9">
        <v>1</v>
      </c>
      <c r="F29" s="9">
        <v>1</v>
      </c>
      <c r="G29" s="9">
        <v>1</v>
      </c>
      <c r="H29" s="10">
        <v>1</v>
      </c>
      <c r="J29" s="109"/>
      <c r="K29" s="9">
        <v>2019</v>
      </c>
      <c r="L29" s="9">
        <v>1</v>
      </c>
      <c r="M29" s="9">
        <v>1</v>
      </c>
      <c r="N29" s="9">
        <v>1</v>
      </c>
      <c r="O29" s="9">
        <v>0</v>
      </c>
      <c r="P29" s="9">
        <v>0</v>
      </c>
      <c r="Q29" s="10">
        <v>0.6</v>
      </c>
      <c r="R29" s="22"/>
      <c r="S29" s="116"/>
      <c r="T29" s="43">
        <v>2019</v>
      </c>
      <c r="U29" s="44">
        <v>1</v>
      </c>
      <c r="V29" s="44">
        <v>0.6</v>
      </c>
      <c r="W29" s="22"/>
    </row>
    <row r="30" spans="3:23" ht="14.4" thickBot="1" x14ac:dyDescent="0.3">
      <c r="C30" s="109"/>
      <c r="D30" s="9">
        <v>2020</v>
      </c>
      <c r="E30" s="9">
        <v>1</v>
      </c>
      <c r="F30" s="9">
        <v>1</v>
      </c>
      <c r="G30" s="9">
        <v>0</v>
      </c>
      <c r="H30" s="10">
        <v>0.66666666666666663</v>
      </c>
      <c r="J30" s="109"/>
      <c r="K30" s="9">
        <v>2020</v>
      </c>
      <c r="L30" s="9">
        <v>1</v>
      </c>
      <c r="M30" s="9">
        <v>1</v>
      </c>
      <c r="N30" s="9">
        <v>0</v>
      </c>
      <c r="O30" s="9">
        <v>0</v>
      </c>
      <c r="P30" s="9">
        <v>0</v>
      </c>
      <c r="Q30" s="10">
        <v>0.4</v>
      </c>
      <c r="R30" s="22"/>
      <c r="S30" s="116"/>
      <c r="T30" s="43">
        <v>2020</v>
      </c>
      <c r="U30" s="44">
        <v>0.66666666666666663</v>
      </c>
      <c r="V30" s="44">
        <v>0.4</v>
      </c>
      <c r="W30" s="22"/>
    </row>
    <row r="31" spans="3:23" ht="14.4" thickBot="1" x14ac:dyDescent="0.3">
      <c r="C31" s="109"/>
      <c r="D31" s="9">
        <v>2021</v>
      </c>
      <c r="E31" s="9">
        <v>1</v>
      </c>
      <c r="F31" s="9">
        <v>1</v>
      </c>
      <c r="G31" s="9">
        <v>1</v>
      </c>
      <c r="H31" s="10">
        <v>1</v>
      </c>
      <c r="J31" s="109"/>
      <c r="K31" s="9">
        <v>2021</v>
      </c>
      <c r="L31" s="9">
        <v>1</v>
      </c>
      <c r="M31" s="9">
        <v>1</v>
      </c>
      <c r="N31" s="9">
        <v>1</v>
      </c>
      <c r="O31" s="9">
        <v>0</v>
      </c>
      <c r="P31" s="9">
        <v>1</v>
      </c>
      <c r="Q31" s="10">
        <v>0.8</v>
      </c>
      <c r="R31" s="22"/>
      <c r="S31" s="116"/>
      <c r="T31" s="43">
        <v>2021</v>
      </c>
      <c r="U31" s="44">
        <v>1</v>
      </c>
      <c r="V31" s="44">
        <v>0.8</v>
      </c>
      <c r="W31" s="22"/>
    </row>
    <row r="32" spans="3:23" ht="14.4" thickBot="1" x14ac:dyDescent="0.3">
      <c r="C32" s="110"/>
      <c r="D32" s="9">
        <v>2022</v>
      </c>
      <c r="E32" s="9">
        <v>1</v>
      </c>
      <c r="F32" s="9">
        <v>1</v>
      </c>
      <c r="G32" s="9">
        <v>0</v>
      </c>
      <c r="H32" s="10">
        <v>0.66666666666666663</v>
      </c>
      <c r="J32" s="110"/>
      <c r="K32" s="9">
        <v>2022</v>
      </c>
      <c r="L32" s="9">
        <v>1</v>
      </c>
      <c r="M32" s="9">
        <v>1</v>
      </c>
      <c r="N32" s="9">
        <v>0</v>
      </c>
      <c r="O32" s="9">
        <v>0</v>
      </c>
      <c r="P32" s="9">
        <v>1</v>
      </c>
      <c r="Q32" s="10">
        <v>0.6</v>
      </c>
      <c r="R32" s="22"/>
      <c r="S32" s="116"/>
      <c r="T32" s="43">
        <v>2022</v>
      </c>
      <c r="U32" s="44">
        <v>0.66666666666666663</v>
      </c>
      <c r="V32" s="44">
        <v>0.6</v>
      </c>
      <c r="W32" s="22"/>
    </row>
    <row r="33" spans="3:23" ht="14.4" thickBot="1" x14ac:dyDescent="0.3">
      <c r="E33" s="2"/>
      <c r="F33" s="2"/>
      <c r="G33" s="2"/>
      <c r="H33" s="22"/>
      <c r="L33" s="2"/>
      <c r="M33" s="2"/>
      <c r="N33" s="2"/>
      <c r="O33" s="2"/>
      <c r="P33" s="2"/>
      <c r="Q33" s="22"/>
      <c r="R33" s="22"/>
      <c r="S33" s="45"/>
      <c r="T33" s="42" t="s">
        <v>219</v>
      </c>
      <c r="U33" s="47">
        <f>SUM(U28:U32)/5</f>
        <v>0.79999999999999993</v>
      </c>
      <c r="V33" s="47">
        <f>SUM(V28:V32)/5</f>
        <v>0.56000000000000005</v>
      </c>
      <c r="W33" s="22"/>
    </row>
    <row r="34" spans="3:23" ht="14.4" thickBot="1" x14ac:dyDescent="0.3">
      <c r="C34" s="108" t="s">
        <v>114</v>
      </c>
      <c r="D34" s="9">
        <v>2018</v>
      </c>
      <c r="E34" s="9">
        <v>1</v>
      </c>
      <c r="F34" s="9">
        <v>1</v>
      </c>
      <c r="G34" s="9">
        <v>1</v>
      </c>
      <c r="H34" s="10">
        <v>1</v>
      </c>
      <c r="J34" s="108" t="s">
        <v>114</v>
      </c>
      <c r="K34" s="9">
        <v>2018</v>
      </c>
      <c r="L34" s="9">
        <v>1</v>
      </c>
      <c r="M34" s="9">
        <v>1</v>
      </c>
      <c r="N34" s="9">
        <v>1</v>
      </c>
      <c r="O34" s="9">
        <v>1</v>
      </c>
      <c r="P34" s="9">
        <v>0</v>
      </c>
      <c r="Q34" s="10">
        <v>0.8</v>
      </c>
      <c r="R34" s="22"/>
      <c r="S34" s="115" t="s">
        <v>114</v>
      </c>
      <c r="T34" s="43">
        <v>2018</v>
      </c>
      <c r="U34" s="44">
        <v>1</v>
      </c>
      <c r="V34" s="44">
        <v>0.8</v>
      </c>
      <c r="W34" s="22"/>
    </row>
    <row r="35" spans="3:23" ht="14.4" thickBot="1" x14ac:dyDescent="0.3">
      <c r="C35" s="109"/>
      <c r="D35" s="9">
        <v>2019</v>
      </c>
      <c r="E35" s="9">
        <v>1</v>
      </c>
      <c r="F35" s="9">
        <v>1</v>
      </c>
      <c r="G35" s="9">
        <v>1</v>
      </c>
      <c r="H35" s="10">
        <v>1</v>
      </c>
      <c r="J35" s="109"/>
      <c r="K35" s="9">
        <v>2019</v>
      </c>
      <c r="L35" s="9">
        <v>1</v>
      </c>
      <c r="M35" s="9">
        <v>1</v>
      </c>
      <c r="N35" s="9">
        <v>1</v>
      </c>
      <c r="O35" s="9">
        <v>1</v>
      </c>
      <c r="P35" s="9">
        <v>1</v>
      </c>
      <c r="Q35" s="10">
        <v>1</v>
      </c>
      <c r="R35" s="22"/>
      <c r="S35" s="116"/>
      <c r="T35" s="43">
        <v>2019</v>
      </c>
      <c r="U35" s="44">
        <v>1</v>
      </c>
      <c r="V35" s="44">
        <v>1</v>
      </c>
      <c r="W35" s="22"/>
    </row>
    <row r="36" spans="3:23" ht="14.4" thickBot="1" x14ac:dyDescent="0.3">
      <c r="C36" s="109"/>
      <c r="D36" s="9">
        <v>2020</v>
      </c>
      <c r="E36" s="9">
        <v>1</v>
      </c>
      <c r="F36" s="9">
        <v>1</v>
      </c>
      <c r="G36" s="9">
        <v>1</v>
      </c>
      <c r="H36" s="10">
        <v>1</v>
      </c>
      <c r="J36" s="109"/>
      <c r="K36" s="9">
        <v>2020</v>
      </c>
      <c r="L36" s="9">
        <v>1</v>
      </c>
      <c r="M36" s="9">
        <v>1</v>
      </c>
      <c r="N36" s="9">
        <v>1</v>
      </c>
      <c r="O36" s="9">
        <v>1</v>
      </c>
      <c r="P36" s="9">
        <v>1</v>
      </c>
      <c r="Q36" s="10">
        <v>1</v>
      </c>
      <c r="R36" s="22"/>
      <c r="S36" s="116"/>
      <c r="T36" s="43">
        <v>2020</v>
      </c>
      <c r="U36" s="44">
        <v>1</v>
      </c>
      <c r="V36" s="44">
        <v>1</v>
      </c>
      <c r="W36" s="22"/>
    </row>
    <row r="37" spans="3:23" ht="14.4" thickBot="1" x14ac:dyDescent="0.3">
      <c r="C37" s="109"/>
      <c r="D37" s="9">
        <v>2021</v>
      </c>
      <c r="E37" s="9">
        <v>1</v>
      </c>
      <c r="F37" s="9">
        <v>1</v>
      </c>
      <c r="G37" s="9">
        <v>1</v>
      </c>
      <c r="H37" s="10">
        <v>1</v>
      </c>
      <c r="J37" s="109"/>
      <c r="K37" s="9">
        <v>2021</v>
      </c>
      <c r="L37" s="9">
        <v>1</v>
      </c>
      <c r="M37" s="9">
        <v>1</v>
      </c>
      <c r="N37" s="9">
        <v>1</v>
      </c>
      <c r="O37" s="9">
        <v>0</v>
      </c>
      <c r="P37" s="9">
        <v>1</v>
      </c>
      <c r="Q37" s="10">
        <v>0.8</v>
      </c>
      <c r="R37" s="22"/>
      <c r="S37" s="116"/>
      <c r="T37" s="43">
        <v>2021</v>
      </c>
      <c r="U37" s="44">
        <v>1</v>
      </c>
      <c r="V37" s="44">
        <v>0.8</v>
      </c>
      <c r="W37" s="22"/>
    </row>
    <row r="38" spans="3:23" ht="14.4" thickBot="1" x14ac:dyDescent="0.3">
      <c r="C38" s="110"/>
      <c r="D38" s="9">
        <v>2022</v>
      </c>
      <c r="E38" s="9">
        <v>1</v>
      </c>
      <c r="F38" s="9">
        <v>1</v>
      </c>
      <c r="G38" s="9">
        <v>1</v>
      </c>
      <c r="H38" s="10">
        <v>1</v>
      </c>
      <c r="J38" s="110"/>
      <c r="K38" s="9">
        <v>2022</v>
      </c>
      <c r="L38" s="9">
        <v>1</v>
      </c>
      <c r="M38" s="9">
        <v>1</v>
      </c>
      <c r="N38" s="9">
        <v>1</v>
      </c>
      <c r="O38" s="9">
        <v>0</v>
      </c>
      <c r="P38" s="9">
        <v>0</v>
      </c>
      <c r="Q38" s="10">
        <v>0.6</v>
      </c>
      <c r="R38" s="22"/>
      <c r="S38" s="116"/>
      <c r="T38" s="43">
        <v>2022</v>
      </c>
      <c r="U38" s="44">
        <v>1</v>
      </c>
      <c r="V38" s="44">
        <v>0.6</v>
      </c>
      <c r="W38" s="22"/>
    </row>
    <row r="39" spans="3:23" ht="14.4" thickBot="1" x14ac:dyDescent="0.3">
      <c r="E39" s="2"/>
      <c r="F39" s="2"/>
      <c r="G39" s="2"/>
      <c r="H39" s="22"/>
      <c r="L39" s="2"/>
      <c r="M39" s="2"/>
      <c r="N39" s="2"/>
      <c r="O39" s="2"/>
      <c r="P39" s="2"/>
      <c r="Q39" s="22"/>
      <c r="R39" s="22"/>
      <c r="S39" s="45"/>
      <c r="T39" s="42" t="s">
        <v>219</v>
      </c>
      <c r="U39" s="47">
        <f>SUM(U34:U38)/5</f>
        <v>1</v>
      </c>
      <c r="V39" s="47">
        <f>SUM(V34:V38)/5</f>
        <v>0.83999999999999986</v>
      </c>
      <c r="W39" s="22"/>
    </row>
    <row r="40" spans="3:23" ht="14.4" thickBot="1" x14ac:dyDescent="0.3">
      <c r="C40" s="108" t="s">
        <v>129</v>
      </c>
      <c r="D40" s="9">
        <v>2018</v>
      </c>
      <c r="E40" s="9">
        <v>1</v>
      </c>
      <c r="F40" s="9">
        <v>1</v>
      </c>
      <c r="G40" s="9">
        <v>0</v>
      </c>
      <c r="H40" s="10">
        <v>0.66666666666666663</v>
      </c>
      <c r="J40" s="108" t="s">
        <v>129</v>
      </c>
      <c r="K40" s="9">
        <v>2018</v>
      </c>
      <c r="L40" s="9">
        <v>1</v>
      </c>
      <c r="M40" s="9">
        <v>1</v>
      </c>
      <c r="N40" s="9">
        <v>0</v>
      </c>
      <c r="O40" s="9">
        <v>0</v>
      </c>
      <c r="P40" s="9">
        <v>1</v>
      </c>
      <c r="Q40" s="10">
        <v>0.6</v>
      </c>
      <c r="R40" s="22"/>
      <c r="S40" s="115" t="s">
        <v>129</v>
      </c>
      <c r="T40" s="43">
        <v>2018</v>
      </c>
      <c r="U40" s="44">
        <v>0.66666666666666663</v>
      </c>
      <c r="V40" s="44">
        <v>0.6</v>
      </c>
      <c r="W40" s="22"/>
    </row>
    <row r="41" spans="3:23" ht="14.4" thickBot="1" x14ac:dyDescent="0.3">
      <c r="C41" s="109"/>
      <c r="D41" s="9">
        <v>2019</v>
      </c>
      <c r="E41" s="9">
        <v>1</v>
      </c>
      <c r="F41" s="9">
        <v>1</v>
      </c>
      <c r="G41" s="9">
        <v>0</v>
      </c>
      <c r="H41" s="10">
        <v>0.66666666666666663</v>
      </c>
      <c r="J41" s="109"/>
      <c r="K41" s="9">
        <v>2019</v>
      </c>
      <c r="L41" s="9">
        <v>1</v>
      </c>
      <c r="M41" s="9">
        <v>1</v>
      </c>
      <c r="N41" s="9">
        <v>0</v>
      </c>
      <c r="O41" s="9">
        <v>0</v>
      </c>
      <c r="P41" s="9">
        <v>1</v>
      </c>
      <c r="Q41" s="10">
        <v>0.6</v>
      </c>
      <c r="R41" s="22"/>
      <c r="S41" s="116"/>
      <c r="T41" s="43">
        <v>2019</v>
      </c>
      <c r="U41" s="44">
        <v>0.66666666666666663</v>
      </c>
      <c r="V41" s="44">
        <v>0.6</v>
      </c>
      <c r="W41" s="22"/>
    </row>
    <row r="42" spans="3:23" ht="14.4" thickBot="1" x14ac:dyDescent="0.3">
      <c r="C42" s="109"/>
      <c r="D42" s="9">
        <v>2020</v>
      </c>
      <c r="E42" s="9">
        <v>1</v>
      </c>
      <c r="F42" s="9">
        <v>1</v>
      </c>
      <c r="G42" s="9">
        <v>0</v>
      </c>
      <c r="H42" s="10">
        <v>0.66666666666666663</v>
      </c>
      <c r="J42" s="109"/>
      <c r="K42" s="9">
        <v>2020</v>
      </c>
      <c r="L42" s="9">
        <v>1</v>
      </c>
      <c r="M42" s="9">
        <v>1</v>
      </c>
      <c r="N42" s="9">
        <v>0</v>
      </c>
      <c r="O42" s="9">
        <v>0</v>
      </c>
      <c r="P42" s="9">
        <v>0</v>
      </c>
      <c r="Q42" s="10">
        <v>0.4</v>
      </c>
      <c r="R42" s="22"/>
      <c r="S42" s="116"/>
      <c r="T42" s="43">
        <v>2020</v>
      </c>
      <c r="U42" s="44">
        <v>0.66666666666666663</v>
      </c>
      <c r="V42" s="44">
        <v>0.4</v>
      </c>
      <c r="W42" s="22"/>
    </row>
    <row r="43" spans="3:23" ht="14.4" thickBot="1" x14ac:dyDescent="0.3">
      <c r="C43" s="109"/>
      <c r="D43" s="9">
        <v>2021</v>
      </c>
      <c r="E43" s="9">
        <v>1</v>
      </c>
      <c r="F43" s="9">
        <v>1</v>
      </c>
      <c r="G43" s="9">
        <v>1</v>
      </c>
      <c r="H43" s="10">
        <v>1</v>
      </c>
      <c r="J43" s="109"/>
      <c r="K43" s="9">
        <v>2021</v>
      </c>
      <c r="L43" s="9">
        <v>1</v>
      </c>
      <c r="M43" s="9">
        <v>1</v>
      </c>
      <c r="N43" s="9">
        <v>1</v>
      </c>
      <c r="O43" s="9">
        <v>1</v>
      </c>
      <c r="P43" s="9">
        <v>0</v>
      </c>
      <c r="Q43" s="10">
        <v>0.8</v>
      </c>
      <c r="R43" s="22"/>
      <c r="S43" s="116"/>
      <c r="T43" s="43">
        <v>2021</v>
      </c>
      <c r="U43" s="44">
        <v>1</v>
      </c>
      <c r="V43" s="44">
        <v>0.8</v>
      </c>
      <c r="W43" s="22"/>
    </row>
    <row r="44" spans="3:23" ht="14.4" thickBot="1" x14ac:dyDescent="0.3">
      <c r="C44" s="110"/>
      <c r="D44" s="9">
        <v>2022</v>
      </c>
      <c r="E44" s="9">
        <v>1</v>
      </c>
      <c r="F44" s="9">
        <v>1</v>
      </c>
      <c r="G44" s="9">
        <v>0</v>
      </c>
      <c r="H44" s="10">
        <v>0.66666666666666663</v>
      </c>
      <c r="J44" s="110"/>
      <c r="K44" s="9">
        <v>2022</v>
      </c>
      <c r="L44" s="9">
        <v>1</v>
      </c>
      <c r="M44" s="9">
        <v>1</v>
      </c>
      <c r="N44" s="9">
        <v>0</v>
      </c>
      <c r="O44" s="9">
        <v>1</v>
      </c>
      <c r="P44" s="9">
        <v>0</v>
      </c>
      <c r="Q44" s="10">
        <v>0.6</v>
      </c>
      <c r="R44" s="22"/>
      <c r="S44" s="116"/>
      <c r="T44" s="43">
        <v>2022</v>
      </c>
      <c r="U44" s="44">
        <v>0.66666666666666663</v>
      </c>
      <c r="V44" s="44">
        <v>0.6</v>
      </c>
      <c r="W44" s="22"/>
    </row>
    <row r="45" spans="3:23" ht="14.4" thickBot="1" x14ac:dyDescent="0.3">
      <c r="E45" s="2"/>
      <c r="F45" s="2"/>
      <c r="G45" s="2"/>
      <c r="H45" s="22"/>
      <c r="L45" s="2"/>
      <c r="M45" s="2"/>
      <c r="N45" s="2"/>
      <c r="O45" s="2"/>
      <c r="P45" s="2"/>
      <c r="Q45" s="22"/>
      <c r="R45" s="22"/>
      <c r="S45" s="45"/>
      <c r="T45" s="42" t="s">
        <v>219</v>
      </c>
      <c r="U45" s="47">
        <f>SUM(U40:U44)/5</f>
        <v>0.73333333333333328</v>
      </c>
      <c r="V45" s="47">
        <f>SUM(V40:V44)/5</f>
        <v>0.60000000000000009</v>
      </c>
      <c r="W45" s="22"/>
    </row>
    <row r="46" spans="3:23" ht="14.4" thickBot="1" x14ac:dyDescent="0.3">
      <c r="C46" s="108" t="s">
        <v>140</v>
      </c>
      <c r="D46" s="9">
        <v>2018</v>
      </c>
      <c r="E46" s="9">
        <v>1</v>
      </c>
      <c r="F46" s="9">
        <v>1</v>
      </c>
      <c r="G46" s="9">
        <v>0</v>
      </c>
      <c r="H46" s="10">
        <v>0.66666666666666663</v>
      </c>
      <c r="J46" s="108" t="s">
        <v>140</v>
      </c>
      <c r="K46" s="9">
        <v>2018</v>
      </c>
      <c r="L46" s="9">
        <v>1</v>
      </c>
      <c r="M46" s="9">
        <v>1</v>
      </c>
      <c r="N46" s="9">
        <v>0</v>
      </c>
      <c r="O46" s="9">
        <v>1</v>
      </c>
      <c r="P46" s="9">
        <v>1</v>
      </c>
      <c r="Q46" s="10">
        <v>0.8</v>
      </c>
      <c r="R46" s="22"/>
      <c r="S46" s="115" t="s">
        <v>140</v>
      </c>
      <c r="T46" s="43">
        <v>2018</v>
      </c>
      <c r="U46" s="44">
        <v>0.66666666666666663</v>
      </c>
      <c r="V46" s="44">
        <v>0.8</v>
      </c>
      <c r="W46" s="22"/>
    </row>
    <row r="47" spans="3:23" ht="14.4" thickBot="1" x14ac:dyDescent="0.3">
      <c r="C47" s="109"/>
      <c r="D47" s="9">
        <v>2019</v>
      </c>
      <c r="E47" s="9">
        <v>1</v>
      </c>
      <c r="F47" s="9">
        <v>1</v>
      </c>
      <c r="G47" s="9">
        <v>0</v>
      </c>
      <c r="H47" s="10">
        <v>0.66666666666666663</v>
      </c>
      <c r="J47" s="109"/>
      <c r="K47" s="9">
        <v>2019</v>
      </c>
      <c r="L47" s="9">
        <v>1</v>
      </c>
      <c r="M47" s="9">
        <v>1</v>
      </c>
      <c r="N47" s="9">
        <v>0</v>
      </c>
      <c r="O47" s="9">
        <v>1</v>
      </c>
      <c r="P47" s="9">
        <v>0</v>
      </c>
      <c r="Q47" s="10">
        <v>0.6</v>
      </c>
      <c r="R47" s="22"/>
      <c r="S47" s="116"/>
      <c r="T47" s="43">
        <v>2019</v>
      </c>
      <c r="U47" s="44">
        <v>0.66666666666666663</v>
      </c>
      <c r="V47" s="44">
        <v>0.6</v>
      </c>
      <c r="W47" s="22"/>
    </row>
    <row r="48" spans="3:23" ht="14.4" thickBot="1" x14ac:dyDescent="0.3">
      <c r="C48" s="109"/>
      <c r="D48" s="9">
        <v>2020</v>
      </c>
      <c r="E48" s="9">
        <v>1</v>
      </c>
      <c r="F48" s="9">
        <v>1</v>
      </c>
      <c r="G48" s="9">
        <v>0</v>
      </c>
      <c r="H48" s="10">
        <v>0.66666666666666663</v>
      </c>
      <c r="J48" s="109"/>
      <c r="K48" s="9">
        <v>2020</v>
      </c>
      <c r="L48" s="9">
        <v>1</v>
      </c>
      <c r="M48" s="9">
        <v>1</v>
      </c>
      <c r="N48" s="9">
        <v>0</v>
      </c>
      <c r="O48" s="9">
        <v>1</v>
      </c>
      <c r="P48" s="9">
        <v>0</v>
      </c>
      <c r="Q48" s="10">
        <v>0.6</v>
      </c>
      <c r="R48" s="22"/>
      <c r="S48" s="116"/>
      <c r="T48" s="43">
        <v>2020</v>
      </c>
      <c r="U48" s="44">
        <v>0.66666666666666663</v>
      </c>
      <c r="V48" s="44">
        <v>0.6</v>
      </c>
      <c r="W48" s="22"/>
    </row>
    <row r="49" spans="3:23" ht="14.4" thickBot="1" x14ac:dyDescent="0.3">
      <c r="C49" s="109"/>
      <c r="D49" s="9">
        <v>2021</v>
      </c>
      <c r="E49" s="9">
        <v>1</v>
      </c>
      <c r="F49" s="9">
        <v>1</v>
      </c>
      <c r="G49" s="9">
        <v>0</v>
      </c>
      <c r="H49" s="10">
        <v>0.66666666666666663</v>
      </c>
      <c r="J49" s="109"/>
      <c r="K49" s="9">
        <v>2021</v>
      </c>
      <c r="L49" s="9">
        <v>1</v>
      </c>
      <c r="M49" s="9">
        <v>1</v>
      </c>
      <c r="N49" s="9">
        <v>0</v>
      </c>
      <c r="O49" s="9">
        <v>0</v>
      </c>
      <c r="P49" s="9">
        <v>1</v>
      </c>
      <c r="Q49" s="10">
        <v>0.6</v>
      </c>
      <c r="R49" s="22"/>
      <c r="S49" s="116"/>
      <c r="T49" s="43">
        <v>2021</v>
      </c>
      <c r="U49" s="44">
        <v>0.66666666666666663</v>
      </c>
      <c r="V49" s="44">
        <v>0.6</v>
      </c>
      <c r="W49" s="22"/>
    </row>
    <row r="50" spans="3:23" ht="14.4" thickBot="1" x14ac:dyDescent="0.3">
      <c r="C50" s="110"/>
      <c r="D50" s="9">
        <v>2022</v>
      </c>
      <c r="E50" s="9">
        <v>1</v>
      </c>
      <c r="F50" s="9">
        <v>1</v>
      </c>
      <c r="G50" s="9">
        <v>0</v>
      </c>
      <c r="H50" s="10">
        <v>0.66666666666666663</v>
      </c>
      <c r="J50" s="110"/>
      <c r="K50" s="9">
        <v>2022</v>
      </c>
      <c r="L50" s="9">
        <v>1</v>
      </c>
      <c r="M50" s="9">
        <v>1</v>
      </c>
      <c r="N50" s="9">
        <v>0</v>
      </c>
      <c r="O50" s="9">
        <v>0</v>
      </c>
      <c r="P50" s="9">
        <v>0</v>
      </c>
      <c r="Q50" s="10">
        <v>0.4</v>
      </c>
      <c r="R50" s="22"/>
      <c r="S50" s="116"/>
      <c r="T50" s="43">
        <v>2022</v>
      </c>
      <c r="U50" s="44">
        <v>0.66666666666666663</v>
      </c>
      <c r="V50" s="44">
        <v>0.4</v>
      </c>
      <c r="W50" s="22"/>
    </row>
    <row r="51" spans="3:23" ht="14.4" thickBot="1" x14ac:dyDescent="0.3">
      <c r="E51" s="2"/>
      <c r="F51" s="2"/>
      <c r="G51" s="2"/>
      <c r="H51" s="22"/>
      <c r="L51" s="2"/>
      <c r="M51" s="2"/>
      <c r="N51" s="2"/>
      <c r="O51" s="2"/>
      <c r="P51" s="2"/>
      <c r="Q51" s="22"/>
      <c r="R51" s="22"/>
      <c r="S51" s="45"/>
      <c r="T51" s="42" t="s">
        <v>219</v>
      </c>
      <c r="U51" s="47">
        <f>SUM(U46:U50)/5</f>
        <v>0.66666666666666663</v>
      </c>
      <c r="V51" s="47">
        <f>SUM(V46:V50)/5</f>
        <v>0.6</v>
      </c>
      <c r="W51" s="22"/>
    </row>
    <row r="52" spans="3:23" ht="14.4" thickBot="1" x14ac:dyDescent="0.3">
      <c r="C52" s="108" t="s">
        <v>150</v>
      </c>
      <c r="D52" s="9">
        <v>2018</v>
      </c>
      <c r="E52" s="9">
        <v>1</v>
      </c>
      <c r="F52" s="9">
        <v>1</v>
      </c>
      <c r="G52" s="9">
        <v>0</v>
      </c>
      <c r="H52" s="10">
        <v>0.66666666666666663</v>
      </c>
      <c r="J52" s="108" t="s">
        <v>150</v>
      </c>
      <c r="K52" s="9">
        <v>2018</v>
      </c>
      <c r="L52" s="9">
        <v>1</v>
      </c>
      <c r="M52" s="9">
        <v>1</v>
      </c>
      <c r="N52" s="9">
        <v>0</v>
      </c>
      <c r="O52" s="9">
        <v>0</v>
      </c>
      <c r="P52" s="9">
        <v>1</v>
      </c>
      <c r="Q52" s="10">
        <v>0.6</v>
      </c>
      <c r="R52" s="22"/>
      <c r="S52" s="115" t="s">
        <v>150</v>
      </c>
      <c r="T52" s="43">
        <v>2018</v>
      </c>
      <c r="U52" s="44">
        <v>0.66666666666666663</v>
      </c>
      <c r="V52" s="44">
        <v>0.6</v>
      </c>
      <c r="W52" s="22"/>
    </row>
    <row r="53" spans="3:23" ht="14.4" thickBot="1" x14ac:dyDescent="0.3">
      <c r="C53" s="109"/>
      <c r="D53" s="9">
        <v>2019</v>
      </c>
      <c r="E53" s="9">
        <v>1</v>
      </c>
      <c r="F53" s="9">
        <v>1</v>
      </c>
      <c r="G53" s="9">
        <v>0</v>
      </c>
      <c r="H53" s="10">
        <v>0.66666666666666663</v>
      </c>
      <c r="J53" s="109"/>
      <c r="K53" s="9">
        <v>2019</v>
      </c>
      <c r="L53" s="9">
        <v>1</v>
      </c>
      <c r="M53" s="9">
        <v>1</v>
      </c>
      <c r="N53" s="9">
        <v>0</v>
      </c>
      <c r="O53" s="9">
        <v>0</v>
      </c>
      <c r="P53" s="9">
        <v>1</v>
      </c>
      <c r="Q53" s="10">
        <v>0.6</v>
      </c>
      <c r="R53" s="22"/>
      <c r="S53" s="116"/>
      <c r="T53" s="43">
        <v>2019</v>
      </c>
      <c r="U53" s="44">
        <v>0.66666666666666663</v>
      </c>
      <c r="V53" s="44">
        <v>0.6</v>
      </c>
      <c r="W53" s="22"/>
    </row>
    <row r="54" spans="3:23" ht="14.4" thickBot="1" x14ac:dyDescent="0.3">
      <c r="C54" s="109"/>
      <c r="D54" s="9">
        <v>2020</v>
      </c>
      <c r="E54" s="9">
        <v>1</v>
      </c>
      <c r="F54" s="9">
        <v>1</v>
      </c>
      <c r="G54" s="9">
        <v>1</v>
      </c>
      <c r="H54" s="10">
        <v>1</v>
      </c>
      <c r="J54" s="109"/>
      <c r="K54" s="9">
        <v>2020</v>
      </c>
      <c r="L54" s="9">
        <v>1</v>
      </c>
      <c r="M54" s="9">
        <v>1</v>
      </c>
      <c r="N54" s="9">
        <v>1</v>
      </c>
      <c r="O54" s="9">
        <v>0</v>
      </c>
      <c r="P54" s="9">
        <v>1</v>
      </c>
      <c r="Q54" s="10">
        <v>0.8</v>
      </c>
      <c r="R54" s="22"/>
      <c r="S54" s="116"/>
      <c r="T54" s="43">
        <v>2020</v>
      </c>
      <c r="U54" s="44">
        <v>1</v>
      </c>
      <c r="V54" s="44">
        <v>0.8</v>
      </c>
      <c r="W54" s="22"/>
    </row>
    <row r="55" spans="3:23" ht="14.4" thickBot="1" x14ac:dyDescent="0.3">
      <c r="C55" s="109"/>
      <c r="D55" s="9">
        <v>2021</v>
      </c>
      <c r="E55" s="9">
        <v>1</v>
      </c>
      <c r="F55" s="9">
        <v>1</v>
      </c>
      <c r="G55" s="9">
        <v>1</v>
      </c>
      <c r="H55" s="10">
        <v>1</v>
      </c>
      <c r="J55" s="109"/>
      <c r="K55" s="9">
        <v>2021</v>
      </c>
      <c r="L55" s="9">
        <v>1</v>
      </c>
      <c r="M55" s="9">
        <v>1</v>
      </c>
      <c r="N55" s="9">
        <v>1</v>
      </c>
      <c r="O55" s="9">
        <v>1</v>
      </c>
      <c r="P55" s="9">
        <v>1</v>
      </c>
      <c r="Q55" s="10">
        <v>1</v>
      </c>
      <c r="R55" s="22"/>
      <c r="S55" s="116"/>
      <c r="T55" s="43">
        <v>2021</v>
      </c>
      <c r="U55" s="44">
        <v>1</v>
      </c>
      <c r="V55" s="44">
        <v>1</v>
      </c>
      <c r="W55" s="22"/>
    </row>
    <row r="56" spans="3:23" ht="14.4" thickBot="1" x14ac:dyDescent="0.3">
      <c r="C56" s="110"/>
      <c r="D56" s="9">
        <v>2022</v>
      </c>
      <c r="E56" s="9">
        <v>1</v>
      </c>
      <c r="F56" s="9">
        <v>1</v>
      </c>
      <c r="G56" s="9">
        <v>1</v>
      </c>
      <c r="H56" s="10">
        <v>1</v>
      </c>
      <c r="J56" s="110"/>
      <c r="K56" s="9">
        <v>2022</v>
      </c>
      <c r="L56" s="9">
        <v>1</v>
      </c>
      <c r="M56" s="9">
        <v>1</v>
      </c>
      <c r="N56" s="9">
        <v>1</v>
      </c>
      <c r="O56" s="9">
        <v>0</v>
      </c>
      <c r="P56" s="9">
        <v>1</v>
      </c>
      <c r="Q56" s="10">
        <v>0.8</v>
      </c>
      <c r="R56" s="22"/>
      <c r="S56" s="116"/>
      <c r="T56" s="43">
        <v>2022</v>
      </c>
      <c r="U56" s="44">
        <v>1</v>
      </c>
      <c r="V56" s="44">
        <v>0.8</v>
      </c>
      <c r="W56" s="22"/>
    </row>
    <row r="57" spans="3:23" ht="14.4" thickBot="1" x14ac:dyDescent="0.3">
      <c r="E57" s="2"/>
      <c r="F57" s="2"/>
      <c r="G57" s="2"/>
      <c r="H57" s="22"/>
      <c r="L57" s="2"/>
      <c r="M57" s="2"/>
      <c r="N57" s="2"/>
      <c r="O57" s="2"/>
      <c r="P57" s="2"/>
      <c r="Q57" s="22"/>
      <c r="R57" s="22"/>
      <c r="S57" s="45"/>
      <c r="T57" s="42" t="s">
        <v>219</v>
      </c>
      <c r="U57" s="47">
        <f>SUM(U52:U56)/5</f>
        <v>0.86666666666666659</v>
      </c>
      <c r="V57" s="47">
        <f>SUM(V52:V56)/5</f>
        <v>0.76</v>
      </c>
      <c r="W57" s="22"/>
    </row>
    <row r="58" spans="3:23" ht="14.4" thickBot="1" x14ac:dyDescent="0.3">
      <c r="C58" s="108" t="s">
        <v>156</v>
      </c>
      <c r="D58" s="9">
        <v>2018</v>
      </c>
      <c r="E58" s="9">
        <v>1</v>
      </c>
      <c r="F58" s="9">
        <v>1</v>
      </c>
      <c r="G58" s="9">
        <v>1</v>
      </c>
      <c r="H58" s="10">
        <v>1</v>
      </c>
      <c r="J58" s="108" t="s">
        <v>156</v>
      </c>
      <c r="K58" s="9">
        <v>2018</v>
      </c>
      <c r="L58" s="9">
        <v>1</v>
      </c>
      <c r="M58" s="9">
        <v>1</v>
      </c>
      <c r="N58" s="9">
        <v>1</v>
      </c>
      <c r="O58" s="9">
        <v>0</v>
      </c>
      <c r="P58" s="9">
        <v>0</v>
      </c>
      <c r="Q58" s="10">
        <v>0.6</v>
      </c>
      <c r="R58" s="22"/>
      <c r="S58" s="115" t="s">
        <v>156</v>
      </c>
      <c r="T58" s="43">
        <v>2018</v>
      </c>
      <c r="U58" s="44">
        <v>1</v>
      </c>
      <c r="V58" s="44">
        <v>0.6</v>
      </c>
      <c r="W58" s="22"/>
    </row>
    <row r="59" spans="3:23" ht="14.4" thickBot="1" x14ac:dyDescent="0.3">
      <c r="C59" s="109"/>
      <c r="D59" s="9">
        <v>2019</v>
      </c>
      <c r="E59" s="9">
        <v>1</v>
      </c>
      <c r="F59" s="9">
        <v>1</v>
      </c>
      <c r="G59" s="9">
        <v>1</v>
      </c>
      <c r="H59" s="10">
        <v>1</v>
      </c>
      <c r="J59" s="109"/>
      <c r="K59" s="9">
        <v>2019</v>
      </c>
      <c r="L59" s="9">
        <v>1</v>
      </c>
      <c r="M59" s="9">
        <v>1</v>
      </c>
      <c r="N59" s="9">
        <v>1</v>
      </c>
      <c r="O59" s="9">
        <v>1</v>
      </c>
      <c r="P59" s="9">
        <v>0</v>
      </c>
      <c r="Q59" s="10">
        <v>0.8</v>
      </c>
      <c r="R59" s="22"/>
      <c r="S59" s="116"/>
      <c r="T59" s="43">
        <v>2019</v>
      </c>
      <c r="U59" s="44">
        <v>1</v>
      </c>
      <c r="V59" s="44">
        <v>0.8</v>
      </c>
      <c r="W59" s="22"/>
    </row>
    <row r="60" spans="3:23" ht="14.4" thickBot="1" x14ac:dyDescent="0.3">
      <c r="C60" s="109"/>
      <c r="D60" s="9">
        <v>2020</v>
      </c>
      <c r="E60" s="9">
        <v>1</v>
      </c>
      <c r="F60" s="9">
        <v>1</v>
      </c>
      <c r="G60" s="9">
        <v>0</v>
      </c>
      <c r="H60" s="10">
        <v>0.66666666666666663</v>
      </c>
      <c r="J60" s="109"/>
      <c r="K60" s="9">
        <v>2020</v>
      </c>
      <c r="L60" s="9">
        <v>1</v>
      </c>
      <c r="M60" s="9">
        <v>1</v>
      </c>
      <c r="N60" s="9">
        <v>0</v>
      </c>
      <c r="O60" s="9">
        <v>1</v>
      </c>
      <c r="P60" s="9">
        <v>0</v>
      </c>
      <c r="Q60" s="10">
        <v>0.6</v>
      </c>
      <c r="R60" s="22"/>
      <c r="S60" s="116"/>
      <c r="T60" s="43">
        <v>2020</v>
      </c>
      <c r="U60" s="44">
        <v>0.66666666666666663</v>
      </c>
      <c r="V60" s="44">
        <v>0.6</v>
      </c>
      <c r="W60" s="22"/>
    </row>
    <row r="61" spans="3:23" ht="14.4" thickBot="1" x14ac:dyDescent="0.3">
      <c r="C61" s="109"/>
      <c r="D61" s="9">
        <v>2021</v>
      </c>
      <c r="E61" s="9">
        <v>1</v>
      </c>
      <c r="F61" s="9">
        <v>1</v>
      </c>
      <c r="G61" s="9">
        <v>1</v>
      </c>
      <c r="H61" s="10">
        <v>1</v>
      </c>
      <c r="J61" s="109"/>
      <c r="K61" s="9">
        <v>2021</v>
      </c>
      <c r="L61" s="9">
        <v>1</v>
      </c>
      <c r="M61" s="9">
        <v>1</v>
      </c>
      <c r="N61" s="9">
        <v>1</v>
      </c>
      <c r="O61" s="9">
        <v>1</v>
      </c>
      <c r="P61" s="9">
        <v>0</v>
      </c>
      <c r="Q61" s="10">
        <v>0.8</v>
      </c>
      <c r="R61" s="22"/>
      <c r="S61" s="116"/>
      <c r="T61" s="43">
        <v>2021</v>
      </c>
      <c r="U61" s="44">
        <v>1</v>
      </c>
      <c r="V61" s="44">
        <v>0.8</v>
      </c>
      <c r="W61" s="22"/>
    </row>
    <row r="62" spans="3:23" ht="14.4" thickBot="1" x14ac:dyDescent="0.3">
      <c r="C62" s="110"/>
      <c r="D62" s="9">
        <v>2022</v>
      </c>
      <c r="E62" s="9">
        <v>1</v>
      </c>
      <c r="F62" s="9">
        <v>1</v>
      </c>
      <c r="G62" s="9">
        <v>0</v>
      </c>
      <c r="H62" s="10">
        <v>0.66666666666666663</v>
      </c>
      <c r="J62" s="110"/>
      <c r="K62" s="9">
        <v>2022</v>
      </c>
      <c r="L62" s="9">
        <v>1</v>
      </c>
      <c r="M62" s="9">
        <v>1</v>
      </c>
      <c r="N62" s="9">
        <v>0</v>
      </c>
      <c r="O62" s="9">
        <v>0</v>
      </c>
      <c r="P62" s="9">
        <v>1</v>
      </c>
      <c r="Q62" s="10">
        <v>0.6</v>
      </c>
      <c r="R62" s="22"/>
      <c r="S62" s="116"/>
      <c r="T62" s="43">
        <v>2022</v>
      </c>
      <c r="U62" s="44">
        <v>0.66666666666666663</v>
      </c>
      <c r="V62" s="44">
        <v>0.6</v>
      </c>
      <c r="W62" s="22"/>
    </row>
    <row r="63" spans="3:23" ht="14.4" thickBot="1" x14ac:dyDescent="0.3">
      <c r="E63" s="2"/>
      <c r="F63" s="2"/>
      <c r="G63" s="2"/>
      <c r="H63" s="22"/>
      <c r="L63" s="2"/>
      <c r="M63" s="2"/>
      <c r="N63" s="2"/>
      <c r="O63" s="2"/>
      <c r="P63" s="2"/>
      <c r="Q63" s="22"/>
      <c r="R63" s="22"/>
      <c r="S63" s="45"/>
      <c r="T63" s="42" t="s">
        <v>219</v>
      </c>
      <c r="U63" s="47">
        <f>SUM(U58:U62)/5</f>
        <v>0.86666666666666659</v>
      </c>
      <c r="V63" s="47">
        <f>SUM(V58:V62)/5</f>
        <v>0.67999999999999994</v>
      </c>
      <c r="W63" s="22"/>
    </row>
    <row r="64" spans="3:23" ht="14.4" thickBot="1" x14ac:dyDescent="0.3">
      <c r="C64" s="108" t="s">
        <v>162</v>
      </c>
      <c r="D64" s="9">
        <v>2018</v>
      </c>
      <c r="E64" s="9">
        <v>1</v>
      </c>
      <c r="F64" s="9">
        <v>1</v>
      </c>
      <c r="G64" s="9">
        <v>0</v>
      </c>
      <c r="H64" s="10">
        <v>0.66666666666666663</v>
      </c>
      <c r="J64" s="108" t="s">
        <v>162</v>
      </c>
      <c r="K64" s="9">
        <v>2018</v>
      </c>
      <c r="L64" s="9">
        <v>1</v>
      </c>
      <c r="M64" s="9">
        <v>1</v>
      </c>
      <c r="N64" s="9">
        <v>0</v>
      </c>
      <c r="O64" s="9">
        <v>0</v>
      </c>
      <c r="P64" s="9">
        <v>1</v>
      </c>
      <c r="Q64" s="10">
        <v>0.6</v>
      </c>
      <c r="R64" s="22"/>
      <c r="S64" s="115" t="s">
        <v>162</v>
      </c>
      <c r="T64" s="43">
        <v>2018</v>
      </c>
      <c r="U64" s="44">
        <v>0.66666666666666663</v>
      </c>
      <c r="V64" s="44">
        <v>0.6</v>
      </c>
      <c r="W64" s="22"/>
    </row>
    <row r="65" spans="3:23" ht="14.4" thickBot="1" x14ac:dyDescent="0.3">
      <c r="C65" s="109"/>
      <c r="D65" s="9">
        <v>2019</v>
      </c>
      <c r="E65" s="9">
        <v>1</v>
      </c>
      <c r="F65" s="9">
        <v>1</v>
      </c>
      <c r="G65" s="9">
        <v>1</v>
      </c>
      <c r="H65" s="10">
        <v>1</v>
      </c>
      <c r="J65" s="109"/>
      <c r="K65" s="9">
        <v>2019</v>
      </c>
      <c r="L65" s="9">
        <v>1</v>
      </c>
      <c r="M65" s="9">
        <v>1</v>
      </c>
      <c r="N65" s="9">
        <v>1</v>
      </c>
      <c r="O65" s="9">
        <v>1</v>
      </c>
      <c r="P65" s="9">
        <v>1</v>
      </c>
      <c r="Q65" s="10">
        <v>1</v>
      </c>
      <c r="R65" s="22"/>
      <c r="S65" s="116"/>
      <c r="T65" s="43">
        <v>2019</v>
      </c>
      <c r="U65" s="44">
        <v>1</v>
      </c>
      <c r="V65" s="44">
        <v>1</v>
      </c>
      <c r="W65" s="22"/>
    </row>
    <row r="66" spans="3:23" ht="14.4" thickBot="1" x14ac:dyDescent="0.3">
      <c r="C66" s="109"/>
      <c r="D66" s="9">
        <v>2020</v>
      </c>
      <c r="E66" s="9">
        <v>1</v>
      </c>
      <c r="F66" s="9">
        <v>1</v>
      </c>
      <c r="G66" s="9">
        <v>1</v>
      </c>
      <c r="H66" s="10">
        <v>1</v>
      </c>
      <c r="J66" s="109"/>
      <c r="K66" s="9">
        <v>2020</v>
      </c>
      <c r="L66" s="9">
        <v>1</v>
      </c>
      <c r="M66" s="9">
        <v>1</v>
      </c>
      <c r="N66" s="9">
        <v>1</v>
      </c>
      <c r="O66" s="9">
        <v>0</v>
      </c>
      <c r="P66" s="9">
        <v>1</v>
      </c>
      <c r="Q66" s="10">
        <v>0.8</v>
      </c>
      <c r="R66" s="22"/>
      <c r="S66" s="116"/>
      <c r="T66" s="43">
        <v>2020</v>
      </c>
      <c r="U66" s="44">
        <v>1</v>
      </c>
      <c r="V66" s="44">
        <v>0.8</v>
      </c>
      <c r="W66" s="22"/>
    </row>
    <row r="67" spans="3:23" ht="14.4" thickBot="1" x14ac:dyDescent="0.3">
      <c r="C67" s="109"/>
      <c r="D67" s="9">
        <v>2021</v>
      </c>
      <c r="E67" s="9">
        <v>1</v>
      </c>
      <c r="F67" s="9">
        <v>1</v>
      </c>
      <c r="G67" s="9">
        <v>1</v>
      </c>
      <c r="H67" s="10">
        <v>1</v>
      </c>
      <c r="J67" s="109"/>
      <c r="K67" s="9">
        <v>2021</v>
      </c>
      <c r="L67" s="9">
        <v>1</v>
      </c>
      <c r="M67" s="9">
        <v>1</v>
      </c>
      <c r="N67" s="9">
        <v>1</v>
      </c>
      <c r="O67" s="9">
        <v>0</v>
      </c>
      <c r="P67" s="9">
        <v>0</v>
      </c>
      <c r="Q67" s="10">
        <v>0.6</v>
      </c>
      <c r="R67" s="22"/>
      <c r="S67" s="116"/>
      <c r="T67" s="43">
        <v>2021</v>
      </c>
      <c r="U67" s="44">
        <v>1</v>
      </c>
      <c r="V67" s="44">
        <v>0.6</v>
      </c>
      <c r="W67" s="22"/>
    </row>
    <row r="68" spans="3:23" ht="14.4" thickBot="1" x14ac:dyDescent="0.3">
      <c r="C68" s="110"/>
      <c r="D68" s="9">
        <v>2022</v>
      </c>
      <c r="E68" s="9">
        <v>1</v>
      </c>
      <c r="F68" s="9">
        <v>1</v>
      </c>
      <c r="G68" s="9">
        <v>0</v>
      </c>
      <c r="H68" s="10">
        <v>0.66666666666666663</v>
      </c>
      <c r="J68" s="110"/>
      <c r="K68" s="9">
        <v>2022</v>
      </c>
      <c r="L68" s="9">
        <v>1</v>
      </c>
      <c r="M68" s="9">
        <v>1</v>
      </c>
      <c r="N68" s="9">
        <v>0</v>
      </c>
      <c r="O68" s="9">
        <v>1</v>
      </c>
      <c r="P68" s="9">
        <v>0</v>
      </c>
      <c r="Q68" s="10">
        <v>0.6</v>
      </c>
      <c r="R68" s="22"/>
      <c r="S68" s="116"/>
      <c r="T68" s="43">
        <v>2022</v>
      </c>
      <c r="U68" s="44">
        <v>0.66666666666666663</v>
      </c>
      <c r="V68" s="44">
        <v>0.6</v>
      </c>
      <c r="W68" s="22"/>
    </row>
    <row r="69" spans="3:23" ht="14.4" thickBot="1" x14ac:dyDescent="0.3">
      <c r="E69" s="2"/>
      <c r="F69" s="2"/>
      <c r="G69" s="2"/>
      <c r="H69" s="22"/>
      <c r="L69" s="2"/>
      <c r="M69" s="2"/>
      <c r="N69" s="2"/>
      <c r="O69" s="2"/>
      <c r="P69" s="2"/>
      <c r="Q69" s="22"/>
      <c r="R69" s="22"/>
      <c r="S69" s="45"/>
      <c r="T69" s="42" t="s">
        <v>219</v>
      </c>
      <c r="U69" s="47">
        <f>SUM(U64:U68)/5</f>
        <v>0.86666666666666659</v>
      </c>
      <c r="V69" s="47">
        <f>SUM(V64:V68)/5</f>
        <v>0.72000000000000008</v>
      </c>
      <c r="W69" s="22"/>
    </row>
    <row r="70" spans="3:23" ht="14.4" thickBot="1" x14ac:dyDescent="0.3">
      <c r="C70" s="108" t="s">
        <v>168</v>
      </c>
      <c r="D70" s="9">
        <v>2018</v>
      </c>
      <c r="E70" s="9">
        <v>1</v>
      </c>
      <c r="F70" s="9">
        <v>1</v>
      </c>
      <c r="G70" s="9">
        <v>1</v>
      </c>
      <c r="H70" s="10">
        <v>1</v>
      </c>
      <c r="J70" s="108" t="s">
        <v>168</v>
      </c>
      <c r="K70" s="9">
        <v>2018</v>
      </c>
      <c r="L70" s="9">
        <v>1</v>
      </c>
      <c r="M70" s="9">
        <v>1</v>
      </c>
      <c r="N70" s="9">
        <v>1</v>
      </c>
      <c r="O70" s="9">
        <v>0</v>
      </c>
      <c r="P70" s="9">
        <v>0</v>
      </c>
      <c r="Q70" s="10">
        <v>0.6</v>
      </c>
      <c r="R70" s="22"/>
      <c r="S70" s="115" t="s">
        <v>168</v>
      </c>
      <c r="T70" s="43">
        <v>2018</v>
      </c>
      <c r="U70" s="44">
        <v>1</v>
      </c>
      <c r="V70" s="44">
        <v>0.6</v>
      </c>
      <c r="W70" s="22"/>
    </row>
    <row r="71" spans="3:23" ht="14.4" thickBot="1" x14ac:dyDescent="0.3">
      <c r="C71" s="109"/>
      <c r="D71" s="9">
        <v>2019</v>
      </c>
      <c r="E71" s="9">
        <v>1</v>
      </c>
      <c r="F71" s="9">
        <v>1</v>
      </c>
      <c r="G71" s="9">
        <v>1</v>
      </c>
      <c r="H71" s="10">
        <v>1</v>
      </c>
      <c r="J71" s="109"/>
      <c r="K71" s="9">
        <v>2019</v>
      </c>
      <c r="L71" s="9">
        <v>1</v>
      </c>
      <c r="M71" s="9">
        <v>1</v>
      </c>
      <c r="N71" s="9">
        <v>1</v>
      </c>
      <c r="O71" s="9">
        <v>0</v>
      </c>
      <c r="P71" s="9">
        <v>1</v>
      </c>
      <c r="Q71" s="10">
        <v>0.8</v>
      </c>
      <c r="R71" s="22"/>
      <c r="S71" s="116"/>
      <c r="T71" s="43">
        <v>2019</v>
      </c>
      <c r="U71" s="44">
        <v>1</v>
      </c>
      <c r="V71" s="44">
        <v>0.8</v>
      </c>
      <c r="W71" s="22"/>
    </row>
    <row r="72" spans="3:23" ht="14.4" thickBot="1" x14ac:dyDescent="0.3">
      <c r="C72" s="109"/>
      <c r="D72" s="9">
        <v>2020</v>
      </c>
      <c r="E72" s="9">
        <v>1</v>
      </c>
      <c r="F72" s="9">
        <v>1</v>
      </c>
      <c r="G72" s="9">
        <v>1</v>
      </c>
      <c r="H72" s="10">
        <v>1</v>
      </c>
      <c r="J72" s="109"/>
      <c r="K72" s="9">
        <v>2020</v>
      </c>
      <c r="L72" s="9">
        <v>1</v>
      </c>
      <c r="M72" s="9">
        <v>1</v>
      </c>
      <c r="N72" s="9">
        <v>1</v>
      </c>
      <c r="O72" s="9">
        <v>1</v>
      </c>
      <c r="P72" s="9">
        <v>1</v>
      </c>
      <c r="Q72" s="10">
        <v>1</v>
      </c>
      <c r="R72" s="22"/>
      <c r="S72" s="116"/>
      <c r="T72" s="43">
        <v>2020</v>
      </c>
      <c r="U72" s="44">
        <v>1</v>
      </c>
      <c r="V72" s="44">
        <v>1</v>
      </c>
      <c r="W72" s="22"/>
    </row>
    <row r="73" spans="3:23" ht="14.4" thickBot="1" x14ac:dyDescent="0.3">
      <c r="C73" s="109"/>
      <c r="D73" s="9">
        <v>2021</v>
      </c>
      <c r="E73" s="9">
        <v>1</v>
      </c>
      <c r="F73" s="9">
        <v>1</v>
      </c>
      <c r="G73" s="9">
        <v>1</v>
      </c>
      <c r="H73" s="10">
        <v>1</v>
      </c>
      <c r="J73" s="109"/>
      <c r="K73" s="9">
        <v>2021</v>
      </c>
      <c r="L73" s="9">
        <v>1</v>
      </c>
      <c r="M73" s="9">
        <v>1</v>
      </c>
      <c r="N73" s="9">
        <v>1</v>
      </c>
      <c r="O73" s="9">
        <v>1</v>
      </c>
      <c r="P73" s="9">
        <v>1</v>
      </c>
      <c r="Q73" s="10">
        <v>1</v>
      </c>
      <c r="R73" s="22"/>
      <c r="S73" s="116"/>
      <c r="T73" s="43">
        <v>2021</v>
      </c>
      <c r="U73" s="44">
        <v>1</v>
      </c>
      <c r="V73" s="44">
        <v>1</v>
      </c>
      <c r="W73" s="22"/>
    </row>
    <row r="74" spans="3:23" ht="14.4" thickBot="1" x14ac:dyDescent="0.3">
      <c r="C74" s="110"/>
      <c r="D74" s="9">
        <v>2022</v>
      </c>
      <c r="E74" s="9">
        <v>1</v>
      </c>
      <c r="F74" s="9">
        <v>1</v>
      </c>
      <c r="G74" s="9">
        <v>0</v>
      </c>
      <c r="H74" s="10">
        <v>0.66666666666666663</v>
      </c>
      <c r="J74" s="110"/>
      <c r="K74" s="9">
        <v>2022</v>
      </c>
      <c r="L74" s="9">
        <v>1</v>
      </c>
      <c r="M74" s="9">
        <v>1</v>
      </c>
      <c r="N74" s="9">
        <v>0</v>
      </c>
      <c r="O74" s="9">
        <v>1</v>
      </c>
      <c r="P74" s="9">
        <v>1</v>
      </c>
      <c r="Q74" s="10">
        <v>0.8</v>
      </c>
      <c r="R74" s="22"/>
      <c r="S74" s="116"/>
      <c r="T74" s="43">
        <v>2022</v>
      </c>
      <c r="U74" s="44">
        <v>0.66666666666666663</v>
      </c>
      <c r="V74" s="44">
        <v>0.8</v>
      </c>
      <c r="W74" s="22"/>
    </row>
    <row r="75" spans="3:23" ht="14.4" thickBot="1" x14ac:dyDescent="0.3">
      <c r="E75" s="2"/>
      <c r="F75" s="2"/>
      <c r="G75" s="2"/>
      <c r="H75" s="22"/>
      <c r="L75" s="2"/>
      <c r="M75" s="2"/>
      <c r="N75" s="2"/>
      <c r="O75" s="2"/>
      <c r="P75" s="2"/>
      <c r="Q75" s="22"/>
      <c r="R75" s="22"/>
      <c r="S75" s="45"/>
      <c r="T75" s="42" t="s">
        <v>219</v>
      </c>
      <c r="U75" s="47">
        <f>SUM(U70:U74)/5</f>
        <v>0.93333333333333335</v>
      </c>
      <c r="V75" s="47">
        <f>SUM(V70:V74)/5</f>
        <v>0.84000000000000008</v>
      </c>
      <c r="W75" s="22"/>
    </row>
    <row r="76" spans="3:23" ht="14.4" thickBot="1" x14ac:dyDescent="0.3">
      <c r="C76" s="108" t="s">
        <v>173</v>
      </c>
      <c r="D76" s="9">
        <v>2018</v>
      </c>
      <c r="E76" s="9">
        <v>1</v>
      </c>
      <c r="F76" s="9">
        <v>1</v>
      </c>
      <c r="G76" s="9">
        <v>0</v>
      </c>
      <c r="H76" s="10">
        <v>0.66666666666666663</v>
      </c>
      <c r="J76" s="108" t="s">
        <v>173</v>
      </c>
      <c r="K76" s="9">
        <v>2018</v>
      </c>
      <c r="L76" s="9">
        <v>1</v>
      </c>
      <c r="M76" s="9">
        <v>1</v>
      </c>
      <c r="N76" s="9">
        <v>0</v>
      </c>
      <c r="O76" s="9">
        <v>1</v>
      </c>
      <c r="P76" s="9">
        <v>0</v>
      </c>
      <c r="Q76" s="10">
        <v>0.6</v>
      </c>
      <c r="R76" s="22"/>
      <c r="S76" s="115" t="s">
        <v>173</v>
      </c>
      <c r="T76" s="43">
        <v>2018</v>
      </c>
      <c r="U76" s="44">
        <v>0.66666666666666663</v>
      </c>
      <c r="V76" s="44">
        <v>0.6</v>
      </c>
      <c r="W76" s="22"/>
    </row>
    <row r="77" spans="3:23" ht="14.4" thickBot="1" x14ac:dyDescent="0.3">
      <c r="C77" s="109"/>
      <c r="D77" s="9">
        <v>2019</v>
      </c>
      <c r="E77" s="9">
        <v>1</v>
      </c>
      <c r="F77" s="9">
        <v>1</v>
      </c>
      <c r="G77" s="9">
        <v>1</v>
      </c>
      <c r="H77" s="10">
        <v>1</v>
      </c>
      <c r="J77" s="109"/>
      <c r="K77" s="9">
        <v>2019</v>
      </c>
      <c r="L77" s="9">
        <v>1</v>
      </c>
      <c r="M77" s="9">
        <v>1</v>
      </c>
      <c r="N77" s="9">
        <v>1</v>
      </c>
      <c r="O77" s="9">
        <v>0</v>
      </c>
      <c r="P77" s="9">
        <v>1</v>
      </c>
      <c r="Q77" s="10">
        <v>0.8</v>
      </c>
      <c r="R77" s="22"/>
      <c r="S77" s="116"/>
      <c r="T77" s="43">
        <v>2019</v>
      </c>
      <c r="U77" s="44">
        <v>1</v>
      </c>
      <c r="V77" s="44">
        <v>0.8</v>
      </c>
      <c r="W77" s="22"/>
    </row>
    <row r="78" spans="3:23" ht="14.4" thickBot="1" x14ac:dyDescent="0.3">
      <c r="C78" s="109"/>
      <c r="D78" s="9">
        <v>2020</v>
      </c>
      <c r="E78" s="9">
        <v>1</v>
      </c>
      <c r="F78" s="9">
        <v>1</v>
      </c>
      <c r="G78" s="9">
        <v>0</v>
      </c>
      <c r="H78" s="10">
        <v>0.66666666666666663</v>
      </c>
      <c r="J78" s="109"/>
      <c r="K78" s="9">
        <v>2020</v>
      </c>
      <c r="L78" s="9">
        <v>1</v>
      </c>
      <c r="M78" s="9">
        <v>1</v>
      </c>
      <c r="N78" s="9">
        <v>0</v>
      </c>
      <c r="O78" s="9">
        <v>1</v>
      </c>
      <c r="P78" s="9">
        <v>0</v>
      </c>
      <c r="Q78" s="10">
        <v>0.6</v>
      </c>
      <c r="R78" s="22"/>
      <c r="S78" s="116"/>
      <c r="T78" s="43">
        <v>2020</v>
      </c>
      <c r="U78" s="44">
        <v>0.66666666666666663</v>
      </c>
      <c r="V78" s="44">
        <v>0.6</v>
      </c>
      <c r="W78" s="22"/>
    </row>
    <row r="79" spans="3:23" ht="14.4" thickBot="1" x14ac:dyDescent="0.3">
      <c r="C79" s="109"/>
      <c r="D79" s="9">
        <v>2021</v>
      </c>
      <c r="E79" s="9">
        <v>1</v>
      </c>
      <c r="F79" s="9">
        <v>1</v>
      </c>
      <c r="G79" s="9">
        <v>1</v>
      </c>
      <c r="H79" s="10">
        <v>1</v>
      </c>
      <c r="J79" s="109"/>
      <c r="K79" s="9">
        <v>2021</v>
      </c>
      <c r="L79" s="9">
        <v>1</v>
      </c>
      <c r="M79" s="9">
        <v>1</v>
      </c>
      <c r="N79" s="9">
        <v>1</v>
      </c>
      <c r="O79" s="9">
        <v>1</v>
      </c>
      <c r="P79" s="9">
        <v>1</v>
      </c>
      <c r="Q79" s="10">
        <v>1</v>
      </c>
      <c r="R79" s="22"/>
      <c r="S79" s="116"/>
      <c r="T79" s="43">
        <v>2021</v>
      </c>
      <c r="U79" s="44">
        <v>1</v>
      </c>
      <c r="V79" s="44">
        <v>1</v>
      </c>
      <c r="W79" s="22"/>
    </row>
    <row r="80" spans="3:23" ht="14.4" thickBot="1" x14ac:dyDescent="0.3">
      <c r="C80" s="110"/>
      <c r="D80" s="9">
        <v>2022</v>
      </c>
      <c r="E80" s="9">
        <v>1</v>
      </c>
      <c r="F80" s="9">
        <v>1</v>
      </c>
      <c r="G80" s="9">
        <v>1</v>
      </c>
      <c r="H80" s="10">
        <v>1</v>
      </c>
      <c r="J80" s="110"/>
      <c r="K80" s="9">
        <v>2022</v>
      </c>
      <c r="L80" s="9">
        <v>1</v>
      </c>
      <c r="M80" s="9">
        <v>1</v>
      </c>
      <c r="N80" s="9">
        <v>1</v>
      </c>
      <c r="O80" s="9">
        <v>0</v>
      </c>
      <c r="P80" s="9">
        <v>1</v>
      </c>
      <c r="Q80" s="10">
        <v>0.8</v>
      </c>
      <c r="R80" s="22"/>
      <c r="S80" s="116"/>
      <c r="T80" s="43">
        <v>2022</v>
      </c>
      <c r="U80" s="44">
        <v>1</v>
      </c>
      <c r="V80" s="44">
        <v>0.8</v>
      </c>
      <c r="W80" s="22"/>
    </row>
    <row r="81" spans="3:23" ht="14.4" thickBot="1" x14ac:dyDescent="0.3">
      <c r="E81" s="2"/>
      <c r="F81" s="2"/>
      <c r="G81" s="2"/>
      <c r="H81" s="22"/>
      <c r="L81" s="2"/>
      <c r="M81" s="2"/>
      <c r="N81" s="2"/>
      <c r="O81" s="2"/>
      <c r="P81" s="2"/>
      <c r="Q81" s="22"/>
      <c r="R81" s="22"/>
      <c r="S81" s="45"/>
      <c r="T81" s="42" t="s">
        <v>219</v>
      </c>
      <c r="U81" s="47">
        <f>SUM(U76:U80)/5</f>
        <v>0.86666666666666659</v>
      </c>
      <c r="V81" s="47">
        <f>SUM(V76:V80)/5</f>
        <v>0.76</v>
      </c>
      <c r="W81" s="22"/>
    </row>
    <row r="82" spans="3:23" ht="14.4" thickBot="1" x14ac:dyDescent="0.3">
      <c r="C82" s="108" t="s">
        <v>174</v>
      </c>
      <c r="D82" s="9">
        <v>2018</v>
      </c>
      <c r="E82" s="9">
        <v>1</v>
      </c>
      <c r="F82" s="9">
        <v>1</v>
      </c>
      <c r="G82" s="9">
        <v>1</v>
      </c>
      <c r="H82" s="10">
        <v>1</v>
      </c>
      <c r="J82" s="108" t="s">
        <v>174</v>
      </c>
      <c r="K82" s="9">
        <v>2018</v>
      </c>
      <c r="L82" s="9">
        <v>1</v>
      </c>
      <c r="M82" s="9">
        <v>1</v>
      </c>
      <c r="N82" s="9">
        <v>1</v>
      </c>
      <c r="O82" s="9">
        <v>0</v>
      </c>
      <c r="P82" s="9">
        <v>1</v>
      </c>
      <c r="Q82" s="10">
        <v>0.8</v>
      </c>
      <c r="R82" s="22"/>
      <c r="S82" s="115" t="s">
        <v>174</v>
      </c>
      <c r="T82" s="43">
        <v>2018</v>
      </c>
      <c r="U82" s="44">
        <v>1</v>
      </c>
      <c r="V82" s="44">
        <v>0.8</v>
      </c>
      <c r="W82" s="22"/>
    </row>
    <row r="83" spans="3:23" ht="14.4" thickBot="1" x14ac:dyDescent="0.3">
      <c r="C83" s="109"/>
      <c r="D83" s="9">
        <v>2019</v>
      </c>
      <c r="E83" s="9">
        <v>1</v>
      </c>
      <c r="F83" s="9">
        <v>1</v>
      </c>
      <c r="G83" s="9">
        <v>0</v>
      </c>
      <c r="H83" s="10">
        <v>0.66666666666666663</v>
      </c>
      <c r="J83" s="109"/>
      <c r="K83" s="9">
        <v>2019</v>
      </c>
      <c r="L83" s="9">
        <v>1</v>
      </c>
      <c r="M83" s="9">
        <v>1</v>
      </c>
      <c r="N83" s="9">
        <v>0</v>
      </c>
      <c r="O83" s="9">
        <v>0</v>
      </c>
      <c r="P83" s="9">
        <v>0</v>
      </c>
      <c r="Q83" s="10">
        <v>0.4</v>
      </c>
      <c r="R83" s="22"/>
      <c r="S83" s="116"/>
      <c r="T83" s="43">
        <v>2019</v>
      </c>
      <c r="U83" s="44">
        <v>0.66666666666666663</v>
      </c>
      <c r="V83" s="44">
        <v>0.4</v>
      </c>
      <c r="W83" s="22"/>
    </row>
    <row r="84" spans="3:23" ht="14.4" thickBot="1" x14ac:dyDescent="0.3">
      <c r="C84" s="109"/>
      <c r="D84" s="9">
        <v>2020</v>
      </c>
      <c r="E84" s="9">
        <v>1</v>
      </c>
      <c r="F84" s="9">
        <v>1</v>
      </c>
      <c r="G84" s="9">
        <v>1</v>
      </c>
      <c r="H84" s="10">
        <v>1</v>
      </c>
      <c r="J84" s="109"/>
      <c r="K84" s="9">
        <v>2020</v>
      </c>
      <c r="L84" s="9">
        <v>1</v>
      </c>
      <c r="M84" s="9">
        <v>1</v>
      </c>
      <c r="N84" s="9">
        <v>1</v>
      </c>
      <c r="O84" s="9">
        <v>1</v>
      </c>
      <c r="P84" s="9">
        <v>1</v>
      </c>
      <c r="Q84" s="10">
        <v>1</v>
      </c>
      <c r="R84" s="22"/>
      <c r="S84" s="116"/>
      <c r="T84" s="43">
        <v>2020</v>
      </c>
      <c r="U84" s="44">
        <v>1</v>
      </c>
      <c r="V84" s="44">
        <v>1</v>
      </c>
      <c r="W84" s="22"/>
    </row>
    <row r="85" spans="3:23" ht="14.4" thickBot="1" x14ac:dyDescent="0.3">
      <c r="C85" s="109"/>
      <c r="D85" s="9">
        <v>2021</v>
      </c>
      <c r="E85" s="9">
        <v>1</v>
      </c>
      <c r="F85" s="9">
        <v>1</v>
      </c>
      <c r="G85" s="9">
        <v>0</v>
      </c>
      <c r="H85" s="10">
        <v>0.66666666666666663</v>
      </c>
      <c r="J85" s="109"/>
      <c r="K85" s="9">
        <v>2021</v>
      </c>
      <c r="L85" s="9">
        <v>1</v>
      </c>
      <c r="M85" s="9">
        <v>1</v>
      </c>
      <c r="N85" s="9">
        <v>0</v>
      </c>
      <c r="O85" s="9">
        <v>0</v>
      </c>
      <c r="P85" s="9">
        <v>1</v>
      </c>
      <c r="Q85" s="10">
        <v>0.6</v>
      </c>
      <c r="R85" s="22"/>
      <c r="S85" s="116"/>
      <c r="T85" s="43">
        <v>2021</v>
      </c>
      <c r="U85" s="44">
        <v>0.66666666666666663</v>
      </c>
      <c r="V85" s="44">
        <v>0.6</v>
      </c>
      <c r="W85" s="22"/>
    </row>
    <row r="86" spans="3:23" ht="14.4" thickBot="1" x14ac:dyDescent="0.3">
      <c r="C86" s="110"/>
      <c r="D86" s="9">
        <v>2022</v>
      </c>
      <c r="E86" s="9">
        <v>1</v>
      </c>
      <c r="F86" s="9">
        <v>1</v>
      </c>
      <c r="G86" s="9">
        <v>1</v>
      </c>
      <c r="H86" s="10">
        <v>1</v>
      </c>
      <c r="J86" s="110"/>
      <c r="K86" s="9">
        <v>2022</v>
      </c>
      <c r="L86" s="9">
        <v>1</v>
      </c>
      <c r="M86" s="9">
        <v>1</v>
      </c>
      <c r="N86" s="9">
        <v>1</v>
      </c>
      <c r="O86" s="9">
        <v>1</v>
      </c>
      <c r="P86" s="9">
        <v>0</v>
      </c>
      <c r="Q86" s="10">
        <v>0.8</v>
      </c>
      <c r="R86" s="22"/>
      <c r="S86" s="116"/>
      <c r="T86" s="43">
        <v>2022</v>
      </c>
      <c r="U86" s="44">
        <v>1</v>
      </c>
      <c r="V86" s="44">
        <v>0.8</v>
      </c>
      <c r="W86" s="22"/>
    </row>
    <row r="87" spans="3:23" ht="14.4" thickBot="1" x14ac:dyDescent="0.3">
      <c r="E87" s="2"/>
      <c r="F87" s="2"/>
      <c r="G87" s="2"/>
      <c r="H87" s="22"/>
      <c r="L87" s="2"/>
      <c r="M87" s="2"/>
      <c r="N87" s="2"/>
      <c r="O87" s="2"/>
      <c r="P87" s="2"/>
      <c r="Q87" s="22"/>
      <c r="R87" s="22"/>
      <c r="S87" s="45"/>
      <c r="T87" s="42" t="s">
        <v>219</v>
      </c>
      <c r="U87" s="47">
        <f>SUM(U82:U86)/5</f>
        <v>0.86666666666666659</v>
      </c>
      <c r="V87" s="47">
        <f>SUM(V82:V86)/5</f>
        <v>0.72000000000000008</v>
      </c>
      <c r="W87" s="22"/>
    </row>
    <row r="88" spans="3:23" ht="14.4" thickBot="1" x14ac:dyDescent="0.3">
      <c r="C88" s="108" t="s">
        <v>175</v>
      </c>
      <c r="D88" s="9">
        <v>2018</v>
      </c>
      <c r="E88" s="9">
        <v>1</v>
      </c>
      <c r="F88" s="9">
        <v>1</v>
      </c>
      <c r="G88" s="9">
        <v>0</v>
      </c>
      <c r="H88" s="10">
        <v>0.66666666666666663</v>
      </c>
      <c r="J88" s="108" t="s">
        <v>175</v>
      </c>
      <c r="K88" s="9">
        <v>2018</v>
      </c>
      <c r="L88" s="9">
        <v>1</v>
      </c>
      <c r="M88" s="9">
        <v>1</v>
      </c>
      <c r="N88" s="9">
        <v>0</v>
      </c>
      <c r="O88" s="9">
        <v>0</v>
      </c>
      <c r="P88" s="9">
        <v>1</v>
      </c>
      <c r="Q88" s="10">
        <v>0.6</v>
      </c>
      <c r="R88" s="22"/>
      <c r="S88" s="115" t="s">
        <v>175</v>
      </c>
      <c r="T88" s="43">
        <v>2018</v>
      </c>
      <c r="U88" s="44">
        <v>0.66666666666666663</v>
      </c>
      <c r="V88" s="44">
        <v>0.6</v>
      </c>
      <c r="W88" s="22"/>
    </row>
    <row r="89" spans="3:23" ht="14.4" thickBot="1" x14ac:dyDescent="0.3">
      <c r="C89" s="109"/>
      <c r="D89" s="9">
        <v>2019</v>
      </c>
      <c r="E89" s="9">
        <v>1</v>
      </c>
      <c r="F89" s="9">
        <v>1</v>
      </c>
      <c r="G89" s="9">
        <v>1</v>
      </c>
      <c r="H89" s="10">
        <v>1</v>
      </c>
      <c r="J89" s="109"/>
      <c r="K89" s="9">
        <v>2019</v>
      </c>
      <c r="L89" s="9">
        <v>1</v>
      </c>
      <c r="M89" s="9">
        <v>1</v>
      </c>
      <c r="N89" s="9">
        <v>1</v>
      </c>
      <c r="O89" s="9">
        <v>1</v>
      </c>
      <c r="P89" s="9">
        <v>0</v>
      </c>
      <c r="Q89" s="10">
        <v>0.8</v>
      </c>
      <c r="R89" s="22"/>
      <c r="S89" s="116"/>
      <c r="T89" s="43">
        <v>2019</v>
      </c>
      <c r="U89" s="44">
        <v>1</v>
      </c>
      <c r="V89" s="44">
        <v>0.8</v>
      </c>
      <c r="W89" s="22"/>
    </row>
    <row r="90" spans="3:23" ht="14.4" thickBot="1" x14ac:dyDescent="0.3">
      <c r="C90" s="109"/>
      <c r="D90" s="9">
        <v>2020</v>
      </c>
      <c r="E90" s="9">
        <v>1</v>
      </c>
      <c r="F90" s="9">
        <v>1</v>
      </c>
      <c r="G90" s="9">
        <v>0</v>
      </c>
      <c r="H90" s="10">
        <v>0.66666666666666663</v>
      </c>
      <c r="J90" s="109"/>
      <c r="K90" s="9">
        <v>2020</v>
      </c>
      <c r="L90" s="9">
        <v>1</v>
      </c>
      <c r="M90" s="9">
        <v>1</v>
      </c>
      <c r="N90" s="9">
        <v>0</v>
      </c>
      <c r="O90" s="9">
        <v>1</v>
      </c>
      <c r="P90" s="9">
        <v>0</v>
      </c>
      <c r="Q90" s="10">
        <v>0.6</v>
      </c>
      <c r="R90" s="22"/>
      <c r="S90" s="116"/>
      <c r="T90" s="43">
        <v>2020</v>
      </c>
      <c r="U90" s="44">
        <v>0.66666666666666663</v>
      </c>
      <c r="V90" s="44">
        <v>0.6</v>
      </c>
      <c r="W90" s="22"/>
    </row>
    <row r="91" spans="3:23" ht="14.4" thickBot="1" x14ac:dyDescent="0.3">
      <c r="C91" s="109"/>
      <c r="D91" s="9">
        <v>2021</v>
      </c>
      <c r="E91" s="9">
        <v>1</v>
      </c>
      <c r="F91" s="9">
        <v>1</v>
      </c>
      <c r="G91" s="9">
        <v>1</v>
      </c>
      <c r="H91" s="10">
        <v>1</v>
      </c>
      <c r="J91" s="109"/>
      <c r="K91" s="9">
        <v>2021</v>
      </c>
      <c r="L91" s="9">
        <v>1</v>
      </c>
      <c r="M91" s="9">
        <v>1</v>
      </c>
      <c r="N91" s="9">
        <v>1</v>
      </c>
      <c r="O91" s="9">
        <v>1</v>
      </c>
      <c r="P91" s="9">
        <v>1</v>
      </c>
      <c r="Q91" s="10">
        <v>1</v>
      </c>
      <c r="R91" s="22"/>
      <c r="S91" s="116"/>
      <c r="T91" s="43">
        <v>2021</v>
      </c>
      <c r="U91" s="44">
        <v>1</v>
      </c>
      <c r="V91" s="44">
        <v>1</v>
      </c>
      <c r="W91" s="22"/>
    </row>
    <row r="92" spans="3:23" ht="14.4" thickBot="1" x14ac:dyDescent="0.3">
      <c r="C92" s="110"/>
      <c r="D92" s="9">
        <v>2022</v>
      </c>
      <c r="E92" s="9">
        <v>1</v>
      </c>
      <c r="F92" s="9">
        <v>1</v>
      </c>
      <c r="G92" s="9">
        <v>0</v>
      </c>
      <c r="H92" s="10">
        <v>0.66666666666666663</v>
      </c>
      <c r="J92" s="110"/>
      <c r="K92" s="9">
        <v>2022</v>
      </c>
      <c r="L92" s="9">
        <v>1</v>
      </c>
      <c r="M92" s="9">
        <v>1</v>
      </c>
      <c r="N92" s="9">
        <v>0</v>
      </c>
      <c r="O92" s="9">
        <v>1</v>
      </c>
      <c r="P92" s="9">
        <v>1</v>
      </c>
      <c r="Q92" s="10">
        <v>0.8</v>
      </c>
      <c r="R92" s="22"/>
      <c r="S92" s="116"/>
      <c r="T92" s="43">
        <v>2022</v>
      </c>
      <c r="U92" s="44">
        <v>0.66666666666666663</v>
      </c>
      <c r="V92" s="44">
        <v>0.8</v>
      </c>
      <c r="W92" s="22"/>
    </row>
    <row r="93" spans="3:23" ht="14.4" thickBot="1" x14ac:dyDescent="0.3">
      <c r="E93" s="2"/>
      <c r="F93" s="2"/>
      <c r="G93" s="2"/>
      <c r="H93" s="22"/>
      <c r="L93" s="2"/>
      <c r="M93" s="2"/>
      <c r="N93" s="2"/>
      <c r="O93" s="2"/>
      <c r="P93" s="2"/>
      <c r="Q93" s="22"/>
      <c r="R93" s="22"/>
      <c r="S93" s="45"/>
      <c r="T93" s="42" t="s">
        <v>219</v>
      </c>
      <c r="U93" s="47">
        <f>SUM(U88:U92)/5</f>
        <v>0.79999999999999993</v>
      </c>
      <c r="V93" s="47">
        <f>SUM(V88:V92)/5</f>
        <v>0.76</v>
      </c>
      <c r="W93" s="22"/>
    </row>
    <row r="94" spans="3:23" ht="14.4" thickBot="1" x14ac:dyDescent="0.3">
      <c r="C94" s="108" t="s">
        <v>176</v>
      </c>
      <c r="D94" s="9">
        <v>2018</v>
      </c>
      <c r="E94" s="9">
        <v>1</v>
      </c>
      <c r="F94" s="9">
        <v>1</v>
      </c>
      <c r="G94" s="9">
        <v>1</v>
      </c>
      <c r="H94" s="10">
        <v>1</v>
      </c>
      <c r="J94" s="108" t="s">
        <v>176</v>
      </c>
      <c r="K94" s="9">
        <v>2018</v>
      </c>
      <c r="L94" s="9">
        <v>1</v>
      </c>
      <c r="M94" s="9">
        <v>1</v>
      </c>
      <c r="N94" s="9">
        <v>1</v>
      </c>
      <c r="O94" s="9">
        <v>0</v>
      </c>
      <c r="P94" s="9">
        <v>1</v>
      </c>
      <c r="Q94" s="10">
        <v>0.8</v>
      </c>
      <c r="R94" s="22"/>
      <c r="S94" s="115" t="s">
        <v>176</v>
      </c>
      <c r="T94" s="43">
        <v>2018</v>
      </c>
      <c r="U94" s="44">
        <v>1</v>
      </c>
      <c r="V94" s="44">
        <v>0.8</v>
      </c>
      <c r="W94" s="22"/>
    </row>
    <row r="95" spans="3:23" ht="14.4" thickBot="1" x14ac:dyDescent="0.3">
      <c r="C95" s="109"/>
      <c r="D95" s="9">
        <v>2019</v>
      </c>
      <c r="E95" s="9">
        <v>1</v>
      </c>
      <c r="F95" s="9">
        <v>1</v>
      </c>
      <c r="G95" s="9">
        <v>1</v>
      </c>
      <c r="H95" s="10">
        <v>1</v>
      </c>
      <c r="J95" s="109"/>
      <c r="K95" s="9">
        <v>2019</v>
      </c>
      <c r="L95" s="9">
        <v>1</v>
      </c>
      <c r="M95" s="9">
        <v>1</v>
      </c>
      <c r="N95" s="9">
        <v>1</v>
      </c>
      <c r="O95" s="9">
        <v>0</v>
      </c>
      <c r="P95" s="9">
        <v>1</v>
      </c>
      <c r="Q95" s="10">
        <v>0.8</v>
      </c>
      <c r="R95" s="22"/>
      <c r="S95" s="116"/>
      <c r="T95" s="43">
        <v>2019</v>
      </c>
      <c r="U95" s="44">
        <v>1</v>
      </c>
      <c r="V95" s="44">
        <v>0.8</v>
      </c>
      <c r="W95" s="22"/>
    </row>
    <row r="96" spans="3:23" ht="14.4" thickBot="1" x14ac:dyDescent="0.3">
      <c r="C96" s="109"/>
      <c r="D96" s="9">
        <v>2020</v>
      </c>
      <c r="E96" s="9">
        <v>1</v>
      </c>
      <c r="F96" s="9">
        <v>1</v>
      </c>
      <c r="G96" s="9">
        <v>0</v>
      </c>
      <c r="H96" s="10">
        <v>0.66666666666666663</v>
      </c>
      <c r="J96" s="109"/>
      <c r="K96" s="9">
        <v>2020</v>
      </c>
      <c r="L96" s="9">
        <v>1</v>
      </c>
      <c r="M96" s="9">
        <v>1</v>
      </c>
      <c r="N96" s="9">
        <v>0</v>
      </c>
      <c r="O96" s="9">
        <v>0</v>
      </c>
      <c r="P96" s="9">
        <v>1</v>
      </c>
      <c r="Q96" s="10">
        <v>0.6</v>
      </c>
      <c r="R96" s="22"/>
      <c r="S96" s="116"/>
      <c r="T96" s="43">
        <v>2020</v>
      </c>
      <c r="U96" s="44">
        <v>0.66666666666666663</v>
      </c>
      <c r="V96" s="44">
        <v>0.6</v>
      </c>
      <c r="W96" s="22"/>
    </row>
    <row r="97" spans="3:23" ht="14.4" thickBot="1" x14ac:dyDescent="0.3">
      <c r="C97" s="109"/>
      <c r="D97" s="9">
        <v>2021</v>
      </c>
      <c r="E97" s="9">
        <v>1</v>
      </c>
      <c r="F97" s="9">
        <v>1</v>
      </c>
      <c r="G97" s="9">
        <v>1</v>
      </c>
      <c r="H97" s="10">
        <v>1</v>
      </c>
      <c r="J97" s="109"/>
      <c r="K97" s="9">
        <v>2021</v>
      </c>
      <c r="L97" s="9">
        <v>1</v>
      </c>
      <c r="M97" s="9">
        <v>1</v>
      </c>
      <c r="N97" s="9">
        <v>1</v>
      </c>
      <c r="O97" s="9">
        <v>0</v>
      </c>
      <c r="P97" s="9">
        <v>0</v>
      </c>
      <c r="Q97" s="10">
        <v>0.6</v>
      </c>
      <c r="R97" s="22"/>
      <c r="S97" s="116"/>
      <c r="T97" s="43">
        <v>2021</v>
      </c>
      <c r="U97" s="44">
        <v>1</v>
      </c>
      <c r="V97" s="44">
        <v>0.6</v>
      </c>
      <c r="W97" s="22"/>
    </row>
    <row r="98" spans="3:23" ht="14.4" thickBot="1" x14ac:dyDescent="0.3">
      <c r="C98" s="110"/>
      <c r="D98" s="9">
        <v>2022</v>
      </c>
      <c r="E98" s="9">
        <v>1</v>
      </c>
      <c r="F98" s="9">
        <v>1</v>
      </c>
      <c r="G98" s="9">
        <v>1</v>
      </c>
      <c r="H98" s="10">
        <v>1</v>
      </c>
      <c r="J98" s="110"/>
      <c r="K98" s="9">
        <v>2022</v>
      </c>
      <c r="L98" s="9">
        <v>1</v>
      </c>
      <c r="M98" s="9">
        <v>1</v>
      </c>
      <c r="N98" s="9">
        <v>1</v>
      </c>
      <c r="O98" s="9">
        <v>0</v>
      </c>
      <c r="P98" s="9">
        <v>0</v>
      </c>
      <c r="Q98" s="10">
        <v>0.6</v>
      </c>
      <c r="R98" s="22"/>
      <c r="S98" s="116"/>
      <c r="T98" s="43">
        <v>2022</v>
      </c>
      <c r="U98" s="44">
        <v>1</v>
      </c>
      <c r="V98" s="44">
        <v>0.6</v>
      </c>
      <c r="W98" s="22"/>
    </row>
    <row r="99" spans="3:23" ht="14.4" thickBot="1" x14ac:dyDescent="0.3">
      <c r="E99" s="2"/>
      <c r="F99" s="2"/>
      <c r="G99" s="2"/>
      <c r="H99" s="22"/>
      <c r="L99" s="2"/>
      <c r="M99" s="2"/>
      <c r="N99" s="2"/>
      <c r="O99" s="2"/>
      <c r="P99" s="2"/>
      <c r="Q99" s="22"/>
      <c r="R99" s="22"/>
      <c r="S99" s="45"/>
      <c r="T99" s="42" t="s">
        <v>219</v>
      </c>
      <c r="U99" s="47">
        <f>SUM(U94:U98)/5</f>
        <v>0.93333333333333324</v>
      </c>
      <c r="V99" s="47">
        <f>SUM(V94:V98)/5</f>
        <v>0.68</v>
      </c>
      <c r="W99" s="22"/>
    </row>
    <row r="100" spans="3:23" ht="14.4" thickBot="1" x14ac:dyDescent="0.3">
      <c r="C100" s="108" t="s">
        <v>177</v>
      </c>
      <c r="D100" s="9">
        <v>2018</v>
      </c>
      <c r="E100" s="9">
        <v>1</v>
      </c>
      <c r="F100" s="9">
        <v>1</v>
      </c>
      <c r="G100" s="9">
        <v>1</v>
      </c>
      <c r="H100" s="10">
        <v>1</v>
      </c>
      <c r="J100" s="108" t="s">
        <v>177</v>
      </c>
      <c r="K100" s="9">
        <v>2018</v>
      </c>
      <c r="L100" s="9">
        <v>1</v>
      </c>
      <c r="M100" s="9">
        <v>1</v>
      </c>
      <c r="N100" s="9">
        <v>1</v>
      </c>
      <c r="O100" s="9">
        <v>0</v>
      </c>
      <c r="P100" s="9">
        <v>0</v>
      </c>
      <c r="Q100" s="10">
        <v>0.6</v>
      </c>
      <c r="R100" s="22"/>
      <c r="S100" s="115" t="s">
        <v>177</v>
      </c>
      <c r="T100" s="43">
        <v>2018</v>
      </c>
      <c r="U100" s="44">
        <v>1</v>
      </c>
      <c r="V100" s="44">
        <v>0.6</v>
      </c>
      <c r="W100" s="22"/>
    </row>
    <row r="101" spans="3:23" ht="14.4" thickBot="1" x14ac:dyDescent="0.3">
      <c r="C101" s="109"/>
      <c r="D101" s="9">
        <v>2019</v>
      </c>
      <c r="E101" s="9">
        <v>1</v>
      </c>
      <c r="F101" s="9">
        <v>1</v>
      </c>
      <c r="G101" s="9">
        <v>1</v>
      </c>
      <c r="H101" s="10">
        <v>1</v>
      </c>
      <c r="J101" s="109"/>
      <c r="K101" s="9">
        <v>2019</v>
      </c>
      <c r="L101" s="9">
        <v>1</v>
      </c>
      <c r="M101" s="9">
        <v>1</v>
      </c>
      <c r="N101" s="9">
        <v>1</v>
      </c>
      <c r="O101" s="9">
        <v>0</v>
      </c>
      <c r="P101" s="9">
        <v>0</v>
      </c>
      <c r="Q101" s="10">
        <v>0.6</v>
      </c>
      <c r="R101" s="22"/>
      <c r="S101" s="116"/>
      <c r="T101" s="43">
        <v>2019</v>
      </c>
      <c r="U101" s="44">
        <v>1</v>
      </c>
      <c r="V101" s="44">
        <v>0.6</v>
      </c>
      <c r="W101" s="22"/>
    </row>
    <row r="102" spans="3:23" ht="14.4" thickBot="1" x14ac:dyDescent="0.3">
      <c r="C102" s="109"/>
      <c r="D102" s="9">
        <v>2020</v>
      </c>
      <c r="E102" s="9">
        <v>1</v>
      </c>
      <c r="F102" s="9">
        <v>1</v>
      </c>
      <c r="G102" s="9">
        <v>1</v>
      </c>
      <c r="H102" s="10">
        <v>1</v>
      </c>
      <c r="J102" s="109"/>
      <c r="K102" s="9">
        <v>2020</v>
      </c>
      <c r="L102" s="9">
        <v>1</v>
      </c>
      <c r="M102" s="9">
        <v>1</v>
      </c>
      <c r="N102" s="9">
        <v>1</v>
      </c>
      <c r="O102" s="9">
        <v>0</v>
      </c>
      <c r="P102" s="9">
        <v>0</v>
      </c>
      <c r="Q102" s="10">
        <v>0.6</v>
      </c>
      <c r="R102" s="22"/>
      <c r="S102" s="116"/>
      <c r="T102" s="43">
        <v>2020</v>
      </c>
      <c r="U102" s="44">
        <v>1</v>
      </c>
      <c r="V102" s="44">
        <v>0.6</v>
      </c>
      <c r="W102" s="22"/>
    </row>
    <row r="103" spans="3:23" ht="14.4" thickBot="1" x14ac:dyDescent="0.3">
      <c r="C103" s="109"/>
      <c r="D103" s="9">
        <v>2021</v>
      </c>
      <c r="E103" s="9">
        <v>1</v>
      </c>
      <c r="F103" s="9">
        <v>1</v>
      </c>
      <c r="G103" s="9">
        <v>1</v>
      </c>
      <c r="H103" s="10">
        <v>1</v>
      </c>
      <c r="J103" s="109"/>
      <c r="K103" s="9">
        <v>2021</v>
      </c>
      <c r="L103" s="9">
        <v>1</v>
      </c>
      <c r="M103" s="9">
        <v>1</v>
      </c>
      <c r="N103" s="9">
        <v>1</v>
      </c>
      <c r="O103" s="9">
        <v>0</v>
      </c>
      <c r="P103" s="9">
        <v>0</v>
      </c>
      <c r="Q103" s="10">
        <v>0.6</v>
      </c>
      <c r="R103" s="22"/>
      <c r="S103" s="116"/>
      <c r="T103" s="43">
        <v>2021</v>
      </c>
      <c r="U103" s="44">
        <v>1</v>
      </c>
      <c r="V103" s="44">
        <v>0.6</v>
      </c>
      <c r="W103" s="22"/>
    </row>
    <row r="104" spans="3:23" ht="14.4" thickBot="1" x14ac:dyDescent="0.3">
      <c r="C104" s="110"/>
      <c r="D104" s="9">
        <v>2022</v>
      </c>
      <c r="E104" s="9">
        <v>1</v>
      </c>
      <c r="F104" s="9">
        <v>1</v>
      </c>
      <c r="G104" s="9">
        <v>0</v>
      </c>
      <c r="H104" s="10">
        <v>0.66666666666666663</v>
      </c>
      <c r="J104" s="110"/>
      <c r="K104" s="9">
        <v>2022</v>
      </c>
      <c r="L104" s="9">
        <v>1</v>
      </c>
      <c r="M104" s="9">
        <v>1</v>
      </c>
      <c r="N104" s="9">
        <v>0</v>
      </c>
      <c r="O104" s="9">
        <v>1</v>
      </c>
      <c r="P104" s="9">
        <v>1</v>
      </c>
      <c r="Q104" s="10">
        <v>0.8</v>
      </c>
      <c r="R104" s="22"/>
      <c r="S104" s="116"/>
      <c r="T104" s="43">
        <v>2022</v>
      </c>
      <c r="U104" s="44">
        <v>0.66666666666666663</v>
      </c>
      <c r="V104" s="44">
        <v>0.8</v>
      </c>
      <c r="W104" s="22"/>
    </row>
    <row r="105" spans="3:23" ht="14.4" thickBot="1" x14ac:dyDescent="0.3">
      <c r="E105" s="2"/>
      <c r="F105" s="2"/>
      <c r="G105" s="2"/>
      <c r="H105" s="22"/>
      <c r="L105" s="2"/>
      <c r="M105" s="2"/>
      <c r="N105" s="2"/>
      <c r="O105" s="2"/>
      <c r="P105" s="2"/>
      <c r="Q105" s="22"/>
      <c r="R105" s="22"/>
      <c r="S105" s="45"/>
      <c r="T105" s="42" t="s">
        <v>219</v>
      </c>
      <c r="U105" s="47">
        <f>SUM(U100:U104)/5</f>
        <v>0.93333333333333335</v>
      </c>
      <c r="V105" s="47">
        <f>SUM(V100:V104)/5</f>
        <v>0.64</v>
      </c>
      <c r="W105" s="22"/>
    </row>
    <row r="106" spans="3:23" ht="14.4" thickBot="1" x14ac:dyDescent="0.3">
      <c r="C106" s="108" t="s">
        <v>178</v>
      </c>
      <c r="D106" s="9">
        <v>2018</v>
      </c>
      <c r="E106" s="9">
        <v>1</v>
      </c>
      <c r="F106" s="9">
        <v>1</v>
      </c>
      <c r="G106" s="9">
        <v>1</v>
      </c>
      <c r="H106" s="10">
        <v>1</v>
      </c>
      <c r="J106" s="108" t="s">
        <v>178</v>
      </c>
      <c r="K106" s="9">
        <v>2018</v>
      </c>
      <c r="L106" s="9">
        <v>1</v>
      </c>
      <c r="M106" s="9">
        <v>1</v>
      </c>
      <c r="N106" s="9">
        <v>1</v>
      </c>
      <c r="O106" s="9">
        <v>0</v>
      </c>
      <c r="P106" s="9">
        <v>0</v>
      </c>
      <c r="Q106" s="10">
        <v>0.6</v>
      </c>
      <c r="R106" s="22"/>
      <c r="S106" s="115" t="s">
        <v>178</v>
      </c>
      <c r="T106" s="43">
        <v>2018</v>
      </c>
      <c r="U106" s="44">
        <v>1</v>
      </c>
      <c r="V106" s="44">
        <v>0.6</v>
      </c>
      <c r="W106" s="22"/>
    </row>
    <row r="107" spans="3:23" ht="14.4" thickBot="1" x14ac:dyDescent="0.3">
      <c r="C107" s="109"/>
      <c r="D107" s="9">
        <v>2019</v>
      </c>
      <c r="E107" s="9">
        <v>1</v>
      </c>
      <c r="F107" s="9">
        <v>1</v>
      </c>
      <c r="G107" s="9">
        <v>0</v>
      </c>
      <c r="H107" s="10">
        <v>0.66666666666666663</v>
      </c>
      <c r="J107" s="109"/>
      <c r="K107" s="9">
        <v>2019</v>
      </c>
      <c r="L107" s="9">
        <v>1</v>
      </c>
      <c r="M107" s="9">
        <v>1</v>
      </c>
      <c r="N107" s="9">
        <v>0</v>
      </c>
      <c r="O107" s="9">
        <v>1</v>
      </c>
      <c r="P107" s="9">
        <v>1</v>
      </c>
      <c r="Q107" s="10">
        <v>0.8</v>
      </c>
      <c r="R107" s="22"/>
      <c r="S107" s="116"/>
      <c r="T107" s="43">
        <v>2019</v>
      </c>
      <c r="U107" s="44">
        <v>0.66666666666666663</v>
      </c>
      <c r="V107" s="44">
        <v>0.8</v>
      </c>
      <c r="W107" s="22"/>
    </row>
    <row r="108" spans="3:23" ht="14.4" thickBot="1" x14ac:dyDescent="0.3">
      <c r="C108" s="109"/>
      <c r="D108" s="9">
        <v>2020</v>
      </c>
      <c r="E108" s="9">
        <v>1</v>
      </c>
      <c r="F108" s="9">
        <v>1</v>
      </c>
      <c r="G108" s="9">
        <v>0</v>
      </c>
      <c r="H108" s="10">
        <v>0.66666666666666663</v>
      </c>
      <c r="J108" s="109"/>
      <c r="K108" s="9">
        <v>2020</v>
      </c>
      <c r="L108" s="9">
        <v>1</v>
      </c>
      <c r="M108" s="9">
        <v>1</v>
      </c>
      <c r="N108" s="9">
        <v>0</v>
      </c>
      <c r="O108" s="9">
        <v>1</v>
      </c>
      <c r="P108" s="9">
        <v>0</v>
      </c>
      <c r="Q108" s="10">
        <v>0.6</v>
      </c>
      <c r="R108" s="22"/>
      <c r="S108" s="116"/>
      <c r="T108" s="43">
        <v>2020</v>
      </c>
      <c r="U108" s="44">
        <v>0.66666666666666663</v>
      </c>
      <c r="V108" s="44">
        <v>0.6</v>
      </c>
      <c r="W108" s="22"/>
    </row>
    <row r="109" spans="3:23" ht="14.4" thickBot="1" x14ac:dyDescent="0.3">
      <c r="C109" s="109"/>
      <c r="D109" s="9">
        <v>2021</v>
      </c>
      <c r="E109" s="9">
        <v>1</v>
      </c>
      <c r="F109" s="9">
        <v>1</v>
      </c>
      <c r="G109" s="9">
        <v>0</v>
      </c>
      <c r="H109" s="10">
        <v>0.66666666666666663</v>
      </c>
      <c r="J109" s="109"/>
      <c r="K109" s="9">
        <v>2021</v>
      </c>
      <c r="L109" s="9">
        <v>1</v>
      </c>
      <c r="M109" s="9">
        <v>1</v>
      </c>
      <c r="N109" s="9">
        <v>0</v>
      </c>
      <c r="O109" s="9">
        <v>0</v>
      </c>
      <c r="P109" s="9">
        <v>0</v>
      </c>
      <c r="Q109" s="10">
        <v>0.4</v>
      </c>
      <c r="R109" s="22"/>
      <c r="S109" s="116"/>
      <c r="T109" s="43">
        <v>2021</v>
      </c>
      <c r="U109" s="44">
        <v>0.66666666666666663</v>
      </c>
      <c r="V109" s="44">
        <v>0.4</v>
      </c>
      <c r="W109" s="22"/>
    </row>
    <row r="110" spans="3:23" ht="14.4" thickBot="1" x14ac:dyDescent="0.3">
      <c r="C110" s="110"/>
      <c r="D110" s="9">
        <v>2022</v>
      </c>
      <c r="E110" s="9">
        <v>1</v>
      </c>
      <c r="F110" s="9">
        <v>1</v>
      </c>
      <c r="G110" s="9">
        <v>0</v>
      </c>
      <c r="H110" s="10">
        <v>0.66666666666666663</v>
      </c>
      <c r="J110" s="110"/>
      <c r="K110" s="9">
        <v>2022</v>
      </c>
      <c r="L110" s="9">
        <v>1</v>
      </c>
      <c r="M110" s="9">
        <v>1</v>
      </c>
      <c r="N110" s="9">
        <v>0</v>
      </c>
      <c r="O110" s="9">
        <v>0</v>
      </c>
      <c r="P110" s="9">
        <v>0</v>
      </c>
      <c r="Q110" s="10">
        <v>0.4</v>
      </c>
      <c r="R110" s="22"/>
      <c r="S110" s="116"/>
      <c r="T110" s="43">
        <v>2022</v>
      </c>
      <c r="U110" s="44">
        <v>0.66666666666666663</v>
      </c>
      <c r="V110" s="44">
        <v>0.4</v>
      </c>
      <c r="W110" s="22"/>
    </row>
    <row r="111" spans="3:23" ht="14.4" thickBot="1" x14ac:dyDescent="0.3">
      <c r="E111" s="2"/>
      <c r="F111" s="2"/>
      <c r="G111" s="2"/>
      <c r="H111" s="22"/>
      <c r="L111" s="2"/>
      <c r="M111" s="2"/>
      <c r="N111" s="2"/>
      <c r="O111" s="2"/>
      <c r="P111" s="2"/>
      <c r="Q111" s="22"/>
      <c r="R111" s="22"/>
      <c r="S111" s="45"/>
      <c r="T111" s="42" t="s">
        <v>219</v>
      </c>
      <c r="U111" s="47">
        <f>SUM(U106:U110)/5</f>
        <v>0.73333333333333317</v>
      </c>
      <c r="V111" s="47">
        <f>SUM(V106:V110)/5</f>
        <v>0.55999999999999994</v>
      </c>
      <c r="W111" s="22"/>
    </row>
    <row r="112" spans="3:23" ht="14.4" thickBot="1" x14ac:dyDescent="0.3">
      <c r="C112" s="108" t="s">
        <v>179</v>
      </c>
      <c r="D112" s="9">
        <v>2018</v>
      </c>
      <c r="E112" s="9">
        <v>1</v>
      </c>
      <c r="F112" s="9">
        <v>1</v>
      </c>
      <c r="G112" s="9">
        <v>0</v>
      </c>
      <c r="H112" s="10">
        <v>0.66666666666666663</v>
      </c>
      <c r="J112" s="108" t="s">
        <v>179</v>
      </c>
      <c r="K112" s="9">
        <v>2018</v>
      </c>
      <c r="L112" s="9">
        <v>1</v>
      </c>
      <c r="M112" s="9">
        <v>1</v>
      </c>
      <c r="N112" s="9">
        <v>0</v>
      </c>
      <c r="O112" s="9">
        <v>0</v>
      </c>
      <c r="P112" s="9">
        <v>1</v>
      </c>
      <c r="Q112" s="10">
        <v>0.6</v>
      </c>
      <c r="R112" s="22"/>
      <c r="S112" s="115" t="s">
        <v>179</v>
      </c>
      <c r="T112" s="43">
        <v>2018</v>
      </c>
      <c r="U112" s="44">
        <v>0.66666666666666663</v>
      </c>
      <c r="V112" s="44">
        <v>0.6</v>
      </c>
      <c r="W112" s="22"/>
    </row>
    <row r="113" spans="3:23" ht="14.4" thickBot="1" x14ac:dyDescent="0.3">
      <c r="C113" s="109"/>
      <c r="D113" s="9">
        <v>2019</v>
      </c>
      <c r="E113" s="9">
        <v>1</v>
      </c>
      <c r="F113" s="9">
        <v>1</v>
      </c>
      <c r="G113" s="9">
        <v>1</v>
      </c>
      <c r="H113" s="10">
        <v>1</v>
      </c>
      <c r="J113" s="109"/>
      <c r="K113" s="9">
        <v>2019</v>
      </c>
      <c r="L113" s="9">
        <v>1</v>
      </c>
      <c r="M113" s="9">
        <v>1</v>
      </c>
      <c r="N113" s="9">
        <v>1</v>
      </c>
      <c r="O113" s="9">
        <v>1</v>
      </c>
      <c r="P113" s="9">
        <v>1</v>
      </c>
      <c r="Q113" s="10">
        <v>1</v>
      </c>
      <c r="R113" s="22"/>
      <c r="S113" s="116"/>
      <c r="T113" s="43">
        <v>2019</v>
      </c>
      <c r="U113" s="44">
        <v>1</v>
      </c>
      <c r="V113" s="44">
        <v>1</v>
      </c>
      <c r="W113" s="22"/>
    </row>
    <row r="114" spans="3:23" ht="14.4" thickBot="1" x14ac:dyDescent="0.3">
      <c r="C114" s="109"/>
      <c r="D114" s="9">
        <v>2020</v>
      </c>
      <c r="E114" s="9">
        <v>1</v>
      </c>
      <c r="F114" s="9">
        <v>1</v>
      </c>
      <c r="G114" s="9">
        <v>1</v>
      </c>
      <c r="H114" s="10">
        <v>1</v>
      </c>
      <c r="J114" s="109"/>
      <c r="K114" s="9">
        <v>2020</v>
      </c>
      <c r="L114" s="9">
        <v>1</v>
      </c>
      <c r="M114" s="9">
        <v>1</v>
      </c>
      <c r="N114" s="9">
        <v>1</v>
      </c>
      <c r="O114" s="9">
        <v>1</v>
      </c>
      <c r="P114" s="9">
        <v>1</v>
      </c>
      <c r="Q114" s="10">
        <v>1</v>
      </c>
      <c r="R114" s="22"/>
      <c r="S114" s="116"/>
      <c r="T114" s="43">
        <v>2020</v>
      </c>
      <c r="U114" s="44">
        <v>1</v>
      </c>
      <c r="V114" s="44">
        <v>1</v>
      </c>
      <c r="W114" s="22"/>
    </row>
    <row r="115" spans="3:23" ht="14.4" thickBot="1" x14ac:dyDescent="0.3">
      <c r="C115" s="109"/>
      <c r="D115" s="9">
        <v>2021</v>
      </c>
      <c r="E115" s="9">
        <v>1</v>
      </c>
      <c r="F115" s="9">
        <v>1</v>
      </c>
      <c r="G115" s="9">
        <v>1</v>
      </c>
      <c r="H115" s="10">
        <v>1</v>
      </c>
      <c r="J115" s="109"/>
      <c r="K115" s="9">
        <v>2021</v>
      </c>
      <c r="L115" s="9">
        <v>1</v>
      </c>
      <c r="M115" s="9">
        <v>1</v>
      </c>
      <c r="N115" s="9">
        <v>1</v>
      </c>
      <c r="O115" s="9">
        <v>0</v>
      </c>
      <c r="P115" s="9">
        <v>0</v>
      </c>
      <c r="Q115" s="10">
        <v>0.6</v>
      </c>
      <c r="R115" s="22"/>
      <c r="S115" s="116"/>
      <c r="T115" s="43">
        <v>2021</v>
      </c>
      <c r="U115" s="44">
        <v>1</v>
      </c>
      <c r="V115" s="44">
        <v>0.6</v>
      </c>
      <c r="W115" s="22"/>
    </row>
    <row r="116" spans="3:23" ht="14.4" thickBot="1" x14ac:dyDescent="0.3">
      <c r="C116" s="110"/>
      <c r="D116" s="9">
        <v>2022</v>
      </c>
      <c r="E116" s="9">
        <v>1</v>
      </c>
      <c r="F116" s="9">
        <v>1</v>
      </c>
      <c r="G116" s="9">
        <v>1</v>
      </c>
      <c r="H116" s="10">
        <v>1</v>
      </c>
      <c r="J116" s="110"/>
      <c r="K116" s="9">
        <v>2022</v>
      </c>
      <c r="L116" s="9">
        <v>1</v>
      </c>
      <c r="M116" s="9">
        <v>1</v>
      </c>
      <c r="N116" s="9">
        <v>1</v>
      </c>
      <c r="O116" s="9">
        <v>0</v>
      </c>
      <c r="P116" s="9">
        <v>0</v>
      </c>
      <c r="Q116" s="10">
        <v>0.6</v>
      </c>
      <c r="R116" s="22"/>
      <c r="S116" s="116"/>
      <c r="T116" s="43">
        <v>2022</v>
      </c>
      <c r="U116" s="44">
        <v>1</v>
      </c>
      <c r="V116" s="44">
        <v>0.6</v>
      </c>
      <c r="W116" s="22"/>
    </row>
    <row r="117" spans="3:23" ht="14.4" thickBot="1" x14ac:dyDescent="0.3">
      <c r="E117" s="2"/>
      <c r="F117" s="2"/>
      <c r="G117" s="2"/>
      <c r="H117" s="22"/>
      <c r="L117" s="2"/>
      <c r="M117" s="2"/>
      <c r="N117" s="2"/>
      <c r="O117" s="2"/>
      <c r="P117" s="2"/>
      <c r="Q117" s="22"/>
      <c r="R117" s="22"/>
      <c r="S117" s="45"/>
      <c r="T117" s="42" t="s">
        <v>219</v>
      </c>
      <c r="U117" s="47">
        <f>SUM(U112:U116)/5</f>
        <v>0.93333333333333324</v>
      </c>
      <c r="V117" s="47">
        <f>SUM(V112:V116)/5</f>
        <v>0.76</v>
      </c>
      <c r="W117" s="22"/>
    </row>
    <row r="118" spans="3:23" ht="14.4" thickBot="1" x14ac:dyDescent="0.3">
      <c r="C118" s="108" t="s">
        <v>180</v>
      </c>
      <c r="D118" s="9">
        <v>2018</v>
      </c>
      <c r="E118" s="9">
        <v>1</v>
      </c>
      <c r="F118" s="9">
        <v>1</v>
      </c>
      <c r="G118" s="9">
        <v>1</v>
      </c>
      <c r="H118" s="10">
        <v>1</v>
      </c>
      <c r="J118" s="108" t="s">
        <v>180</v>
      </c>
      <c r="K118" s="9">
        <v>2018</v>
      </c>
      <c r="L118" s="9">
        <v>1</v>
      </c>
      <c r="M118" s="9">
        <v>1</v>
      </c>
      <c r="N118" s="9">
        <v>1</v>
      </c>
      <c r="O118" s="9">
        <v>0</v>
      </c>
      <c r="P118" s="9">
        <v>1</v>
      </c>
      <c r="Q118" s="10">
        <v>0.8</v>
      </c>
      <c r="R118" s="22"/>
      <c r="S118" s="115" t="s">
        <v>180</v>
      </c>
      <c r="T118" s="43">
        <v>2018</v>
      </c>
      <c r="U118" s="44">
        <v>1</v>
      </c>
      <c r="V118" s="44">
        <v>0.8</v>
      </c>
      <c r="W118" s="22"/>
    </row>
    <row r="119" spans="3:23" ht="14.4" thickBot="1" x14ac:dyDescent="0.3">
      <c r="C119" s="109"/>
      <c r="D119" s="9">
        <v>2019</v>
      </c>
      <c r="E119" s="9">
        <v>1</v>
      </c>
      <c r="F119" s="9">
        <v>1</v>
      </c>
      <c r="G119" s="9">
        <v>0</v>
      </c>
      <c r="H119" s="10">
        <v>0.66666666666666663</v>
      </c>
      <c r="J119" s="109"/>
      <c r="K119" s="9">
        <v>2019</v>
      </c>
      <c r="L119" s="9">
        <v>1</v>
      </c>
      <c r="M119" s="9">
        <v>1</v>
      </c>
      <c r="N119" s="9">
        <v>0</v>
      </c>
      <c r="O119" s="9">
        <v>0</v>
      </c>
      <c r="P119" s="9">
        <v>0</v>
      </c>
      <c r="Q119" s="10">
        <v>0.4</v>
      </c>
      <c r="R119" s="22"/>
      <c r="S119" s="116"/>
      <c r="T119" s="43">
        <v>2019</v>
      </c>
      <c r="U119" s="44">
        <v>0.66666666666666663</v>
      </c>
      <c r="V119" s="44">
        <v>0.4</v>
      </c>
      <c r="W119" s="22"/>
    </row>
    <row r="120" spans="3:23" ht="14.4" thickBot="1" x14ac:dyDescent="0.3">
      <c r="C120" s="109"/>
      <c r="D120" s="9">
        <v>2020</v>
      </c>
      <c r="E120" s="9">
        <v>1</v>
      </c>
      <c r="F120" s="9">
        <v>1</v>
      </c>
      <c r="G120" s="9">
        <v>1</v>
      </c>
      <c r="H120" s="10">
        <v>1</v>
      </c>
      <c r="J120" s="109"/>
      <c r="K120" s="9">
        <v>2020</v>
      </c>
      <c r="L120" s="9">
        <v>1</v>
      </c>
      <c r="M120" s="9">
        <v>1</v>
      </c>
      <c r="N120" s="9">
        <v>1</v>
      </c>
      <c r="O120" s="9">
        <v>1</v>
      </c>
      <c r="P120" s="9">
        <v>0</v>
      </c>
      <c r="Q120" s="10">
        <v>0.8</v>
      </c>
      <c r="R120" s="22"/>
      <c r="S120" s="116"/>
      <c r="T120" s="43">
        <v>2020</v>
      </c>
      <c r="U120" s="44">
        <v>1</v>
      </c>
      <c r="V120" s="44">
        <v>0.8</v>
      </c>
      <c r="W120" s="22"/>
    </row>
    <row r="121" spans="3:23" ht="14.4" thickBot="1" x14ac:dyDescent="0.3">
      <c r="C121" s="109"/>
      <c r="D121" s="9">
        <v>2021</v>
      </c>
      <c r="E121" s="9">
        <v>1</v>
      </c>
      <c r="F121" s="9">
        <v>1</v>
      </c>
      <c r="G121" s="9">
        <v>1</v>
      </c>
      <c r="H121" s="10">
        <v>1</v>
      </c>
      <c r="J121" s="109"/>
      <c r="K121" s="9">
        <v>2021</v>
      </c>
      <c r="L121" s="9">
        <v>1</v>
      </c>
      <c r="M121" s="9">
        <v>1</v>
      </c>
      <c r="N121" s="9">
        <v>1</v>
      </c>
      <c r="O121" s="9">
        <v>0</v>
      </c>
      <c r="P121" s="9">
        <v>1</v>
      </c>
      <c r="Q121" s="10">
        <v>0.8</v>
      </c>
      <c r="R121" s="22"/>
      <c r="S121" s="116"/>
      <c r="T121" s="43">
        <v>2021</v>
      </c>
      <c r="U121" s="44">
        <v>1</v>
      </c>
      <c r="V121" s="44">
        <v>0.8</v>
      </c>
      <c r="W121" s="22"/>
    </row>
    <row r="122" spans="3:23" ht="14.4" thickBot="1" x14ac:dyDescent="0.3">
      <c r="C122" s="110"/>
      <c r="D122" s="9">
        <v>2022</v>
      </c>
      <c r="E122" s="9">
        <v>1</v>
      </c>
      <c r="F122" s="9">
        <v>1</v>
      </c>
      <c r="G122" s="9">
        <v>1</v>
      </c>
      <c r="H122" s="10">
        <v>1</v>
      </c>
      <c r="J122" s="110"/>
      <c r="K122" s="9">
        <v>2022</v>
      </c>
      <c r="L122" s="9">
        <v>1</v>
      </c>
      <c r="M122" s="9">
        <v>1</v>
      </c>
      <c r="N122" s="9">
        <v>1</v>
      </c>
      <c r="O122" s="9">
        <v>1</v>
      </c>
      <c r="P122" s="9">
        <v>0</v>
      </c>
      <c r="Q122" s="10">
        <v>0.8</v>
      </c>
      <c r="R122" s="22"/>
      <c r="S122" s="116"/>
      <c r="T122" s="43">
        <v>2022</v>
      </c>
      <c r="U122" s="44">
        <v>1</v>
      </c>
      <c r="V122" s="44">
        <v>0.8</v>
      </c>
      <c r="W122" s="22"/>
    </row>
    <row r="123" spans="3:23" ht="14.4" thickBot="1" x14ac:dyDescent="0.3">
      <c r="E123" s="2"/>
      <c r="F123" s="2"/>
      <c r="G123" s="2"/>
      <c r="H123" s="22"/>
      <c r="L123" s="2"/>
      <c r="M123" s="2"/>
      <c r="N123" s="2"/>
      <c r="O123" s="2"/>
      <c r="P123" s="2"/>
      <c r="Q123" s="22"/>
      <c r="R123" s="22"/>
      <c r="S123" s="45"/>
      <c r="T123" s="42" t="s">
        <v>219</v>
      </c>
      <c r="U123" s="47">
        <f>SUM(U118:U122)/5</f>
        <v>0.93333333333333324</v>
      </c>
      <c r="V123" s="47">
        <f>SUM(V118:V122)/5</f>
        <v>0.72</v>
      </c>
      <c r="W123" s="22"/>
    </row>
    <row r="124" spans="3:23" ht="14.4" thickBot="1" x14ac:dyDescent="0.3">
      <c r="C124" s="108" t="s">
        <v>181</v>
      </c>
      <c r="D124" s="9">
        <v>2018</v>
      </c>
      <c r="E124" s="9">
        <v>1</v>
      </c>
      <c r="F124" s="9">
        <v>1</v>
      </c>
      <c r="G124" s="9">
        <v>1</v>
      </c>
      <c r="H124" s="10">
        <v>1</v>
      </c>
      <c r="J124" s="108" t="s">
        <v>181</v>
      </c>
      <c r="K124" s="9">
        <v>2018</v>
      </c>
      <c r="L124" s="9">
        <v>1</v>
      </c>
      <c r="M124" s="9">
        <v>1</v>
      </c>
      <c r="N124" s="9">
        <v>1</v>
      </c>
      <c r="O124" s="9">
        <v>1</v>
      </c>
      <c r="P124" s="9">
        <v>1</v>
      </c>
      <c r="Q124" s="10">
        <v>1</v>
      </c>
      <c r="R124" s="22"/>
      <c r="S124" s="115" t="s">
        <v>181</v>
      </c>
      <c r="T124" s="43">
        <v>2018</v>
      </c>
      <c r="U124" s="44">
        <v>1</v>
      </c>
      <c r="V124" s="44">
        <v>1</v>
      </c>
      <c r="W124" s="22"/>
    </row>
    <row r="125" spans="3:23" ht="14.4" thickBot="1" x14ac:dyDescent="0.3">
      <c r="C125" s="109"/>
      <c r="D125" s="9">
        <v>2019</v>
      </c>
      <c r="E125" s="9">
        <v>1</v>
      </c>
      <c r="F125" s="9">
        <v>1</v>
      </c>
      <c r="G125" s="9">
        <v>1</v>
      </c>
      <c r="H125" s="10">
        <v>1</v>
      </c>
      <c r="J125" s="109"/>
      <c r="K125" s="9">
        <v>2019</v>
      </c>
      <c r="L125" s="9">
        <v>1</v>
      </c>
      <c r="M125" s="9">
        <v>1</v>
      </c>
      <c r="N125" s="9">
        <v>1</v>
      </c>
      <c r="O125" s="9">
        <v>0</v>
      </c>
      <c r="P125" s="9">
        <v>1</v>
      </c>
      <c r="Q125" s="10">
        <v>0.8</v>
      </c>
      <c r="R125" s="22"/>
      <c r="S125" s="116"/>
      <c r="T125" s="43">
        <v>2019</v>
      </c>
      <c r="U125" s="44">
        <v>1</v>
      </c>
      <c r="V125" s="44">
        <v>0.8</v>
      </c>
      <c r="W125" s="22"/>
    </row>
    <row r="126" spans="3:23" ht="14.4" thickBot="1" x14ac:dyDescent="0.3">
      <c r="C126" s="109"/>
      <c r="D126" s="9">
        <v>2020</v>
      </c>
      <c r="E126" s="9">
        <v>1</v>
      </c>
      <c r="F126" s="9">
        <v>1</v>
      </c>
      <c r="G126" s="9">
        <v>0</v>
      </c>
      <c r="H126" s="10">
        <v>0.66666666666666663</v>
      </c>
      <c r="J126" s="109"/>
      <c r="K126" s="9">
        <v>2020</v>
      </c>
      <c r="L126" s="9">
        <v>1</v>
      </c>
      <c r="M126" s="9">
        <v>1</v>
      </c>
      <c r="N126" s="9">
        <v>0</v>
      </c>
      <c r="O126" s="9">
        <v>0</v>
      </c>
      <c r="P126" s="9">
        <v>1</v>
      </c>
      <c r="Q126" s="10">
        <v>0.6</v>
      </c>
      <c r="R126" s="22"/>
      <c r="S126" s="116"/>
      <c r="T126" s="43">
        <v>2020</v>
      </c>
      <c r="U126" s="44">
        <v>0.66666666666666663</v>
      </c>
      <c r="V126" s="44">
        <v>0.6</v>
      </c>
      <c r="W126" s="22"/>
    </row>
    <row r="127" spans="3:23" ht="14.4" thickBot="1" x14ac:dyDescent="0.3">
      <c r="C127" s="109"/>
      <c r="D127" s="9">
        <v>2021</v>
      </c>
      <c r="E127" s="9">
        <v>1</v>
      </c>
      <c r="F127" s="9">
        <v>1</v>
      </c>
      <c r="G127" s="9">
        <v>1</v>
      </c>
      <c r="H127" s="10">
        <v>1</v>
      </c>
      <c r="J127" s="109"/>
      <c r="K127" s="9">
        <v>2021</v>
      </c>
      <c r="L127" s="9">
        <v>1</v>
      </c>
      <c r="M127" s="9">
        <v>1</v>
      </c>
      <c r="N127" s="9">
        <v>1</v>
      </c>
      <c r="O127" s="9">
        <v>1</v>
      </c>
      <c r="P127" s="9">
        <v>1</v>
      </c>
      <c r="Q127" s="10">
        <v>1</v>
      </c>
      <c r="R127" s="22"/>
      <c r="S127" s="116"/>
      <c r="T127" s="43">
        <v>2021</v>
      </c>
      <c r="U127" s="44">
        <v>1</v>
      </c>
      <c r="V127" s="44">
        <v>1</v>
      </c>
      <c r="W127" s="22"/>
    </row>
    <row r="128" spans="3:23" ht="14.4" thickBot="1" x14ac:dyDescent="0.3">
      <c r="C128" s="110"/>
      <c r="D128" s="9">
        <v>2022</v>
      </c>
      <c r="E128" s="9">
        <v>1</v>
      </c>
      <c r="F128" s="9">
        <v>1</v>
      </c>
      <c r="G128" s="9">
        <v>1</v>
      </c>
      <c r="H128" s="10">
        <v>1</v>
      </c>
      <c r="J128" s="110"/>
      <c r="K128" s="9">
        <v>2022</v>
      </c>
      <c r="L128" s="9">
        <v>1</v>
      </c>
      <c r="M128" s="9">
        <v>1</v>
      </c>
      <c r="N128" s="9">
        <v>1</v>
      </c>
      <c r="O128" s="9">
        <v>1</v>
      </c>
      <c r="P128" s="9">
        <v>1</v>
      </c>
      <c r="Q128" s="10">
        <v>1</v>
      </c>
      <c r="R128" s="22"/>
      <c r="S128" s="116"/>
      <c r="T128" s="43">
        <v>2022</v>
      </c>
      <c r="U128" s="44">
        <v>1</v>
      </c>
      <c r="V128" s="44">
        <v>1</v>
      </c>
      <c r="W128" s="22"/>
    </row>
    <row r="129" spans="3:23" ht="14.4" thickBot="1" x14ac:dyDescent="0.3">
      <c r="E129" s="2"/>
      <c r="F129" s="2"/>
      <c r="G129" s="2"/>
      <c r="H129" s="22"/>
      <c r="L129" s="2"/>
      <c r="M129" s="2"/>
      <c r="N129" s="2"/>
      <c r="O129" s="2"/>
      <c r="P129" s="2"/>
      <c r="Q129" s="22"/>
      <c r="R129" s="22"/>
      <c r="S129" s="45"/>
      <c r="T129" s="42" t="s">
        <v>219</v>
      </c>
      <c r="U129" s="47">
        <f>SUM(U124:U128)/5</f>
        <v>0.93333333333333324</v>
      </c>
      <c r="V129" s="47">
        <f>SUM(V124:V128)/5</f>
        <v>0.88000000000000012</v>
      </c>
      <c r="W129" s="22"/>
    </row>
    <row r="130" spans="3:23" ht="14.4" thickBot="1" x14ac:dyDescent="0.3">
      <c r="C130" s="108" t="s">
        <v>182</v>
      </c>
      <c r="D130" s="9">
        <v>2018</v>
      </c>
      <c r="E130" s="9">
        <v>1</v>
      </c>
      <c r="F130" s="9">
        <v>1</v>
      </c>
      <c r="G130" s="9">
        <v>1</v>
      </c>
      <c r="H130" s="10">
        <v>1</v>
      </c>
      <c r="J130" s="108" t="s">
        <v>182</v>
      </c>
      <c r="K130" s="9">
        <v>2018</v>
      </c>
      <c r="L130" s="9">
        <v>1</v>
      </c>
      <c r="M130" s="9">
        <v>1</v>
      </c>
      <c r="N130" s="9">
        <v>1</v>
      </c>
      <c r="O130" s="9">
        <v>0</v>
      </c>
      <c r="P130" s="9">
        <v>1</v>
      </c>
      <c r="Q130" s="10">
        <v>0.8</v>
      </c>
      <c r="R130" s="22"/>
      <c r="S130" s="115" t="s">
        <v>182</v>
      </c>
      <c r="T130" s="43">
        <v>2018</v>
      </c>
      <c r="U130" s="44">
        <v>1</v>
      </c>
      <c r="V130" s="44">
        <v>0.8</v>
      </c>
      <c r="W130" s="22"/>
    </row>
    <row r="131" spans="3:23" ht="14.4" thickBot="1" x14ac:dyDescent="0.3">
      <c r="C131" s="109"/>
      <c r="D131" s="9">
        <v>2019</v>
      </c>
      <c r="E131" s="9">
        <v>1</v>
      </c>
      <c r="F131" s="9">
        <v>1</v>
      </c>
      <c r="G131" s="9">
        <v>0</v>
      </c>
      <c r="H131" s="10">
        <v>0.66666666666666663</v>
      </c>
      <c r="J131" s="109"/>
      <c r="K131" s="9">
        <v>2019</v>
      </c>
      <c r="L131" s="9">
        <v>1</v>
      </c>
      <c r="M131" s="9">
        <v>1</v>
      </c>
      <c r="N131" s="9">
        <v>0</v>
      </c>
      <c r="O131" s="9">
        <v>0</v>
      </c>
      <c r="P131" s="9">
        <v>0</v>
      </c>
      <c r="Q131" s="10">
        <v>0.4</v>
      </c>
      <c r="R131" s="22"/>
      <c r="S131" s="116"/>
      <c r="T131" s="43">
        <v>2019</v>
      </c>
      <c r="U131" s="44">
        <v>0.66666666666666663</v>
      </c>
      <c r="V131" s="44">
        <v>0.4</v>
      </c>
      <c r="W131" s="22"/>
    </row>
    <row r="132" spans="3:23" ht="14.4" thickBot="1" x14ac:dyDescent="0.3">
      <c r="C132" s="109"/>
      <c r="D132" s="9">
        <v>2020</v>
      </c>
      <c r="E132" s="9">
        <v>1</v>
      </c>
      <c r="F132" s="9">
        <v>1</v>
      </c>
      <c r="G132" s="9">
        <v>0</v>
      </c>
      <c r="H132" s="10">
        <v>0.66666666666666663</v>
      </c>
      <c r="J132" s="109"/>
      <c r="K132" s="9">
        <v>2020</v>
      </c>
      <c r="L132" s="9">
        <v>1</v>
      </c>
      <c r="M132" s="9">
        <v>1</v>
      </c>
      <c r="N132" s="9">
        <v>0</v>
      </c>
      <c r="O132" s="9">
        <v>0</v>
      </c>
      <c r="P132" s="9">
        <v>0</v>
      </c>
      <c r="Q132" s="10">
        <v>0.4</v>
      </c>
      <c r="R132" s="22"/>
      <c r="S132" s="116"/>
      <c r="T132" s="43">
        <v>2020</v>
      </c>
      <c r="U132" s="44">
        <v>0.66666666666666663</v>
      </c>
      <c r="V132" s="44">
        <v>0.4</v>
      </c>
      <c r="W132" s="22"/>
    </row>
    <row r="133" spans="3:23" ht="14.4" thickBot="1" x14ac:dyDescent="0.3">
      <c r="C133" s="109"/>
      <c r="D133" s="9">
        <v>2021</v>
      </c>
      <c r="E133" s="9">
        <v>1</v>
      </c>
      <c r="F133" s="9">
        <v>1</v>
      </c>
      <c r="G133" s="9">
        <v>0</v>
      </c>
      <c r="H133" s="10">
        <v>0.66666666666666663</v>
      </c>
      <c r="J133" s="109"/>
      <c r="K133" s="9">
        <v>2021</v>
      </c>
      <c r="L133" s="9">
        <v>1</v>
      </c>
      <c r="M133" s="9">
        <v>1</v>
      </c>
      <c r="N133" s="9">
        <v>0</v>
      </c>
      <c r="O133" s="9">
        <v>1</v>
      </c>
      <c r="P133" s="9">
        <v>1</v>
      </c>
      <c r="Q133" s="10">
        <v>0.8</v>
      </c>
      <c r="R133" s="22"/>
      <c r="S133" s="116"/>
      <c r="T133" s="43">
        <v>2021</v>
      </c>
      <c r="U133" s="44">
        <v>0.66666666666666663</v>
      </c>
      <c r="V133" s="44">
        <v>0.8</v>
      </c>
      <c r="W133" s="22"/>
    </row>
    <row r="134" spans="3:23" ht="14.4" thickBot="1" x14ac:dyDescent="0.3">
      <c r="C134" s="110"/>
      <c r="D134" s="9">
        <v>2022</v>
      </c>
      <c r="E134" s="9">
        <v>1</v>
      </c>
      <c r="F134" s="9">
        <v>1</v>
      </c>
      <c r="G134" s="9">
        <v>1</v>
      </c>
      <c r="H134" s="10">
        <v>1</v>
      </c>
      <c r="J134" s="110"/>
      <c r="K134" s="9">
        <v>2022</v>
      </c>
      <c r="L134" s="9">
        <v>1</v>
      </c>
      <c r="M134" s="9">
        <v>1</v>
      </c>
      <c r="N134" s="9">
        <v>1</v>
      </c>
      <c r="O134" s="9">
        <v>1</v>
      </c>
      <c r="P134" s="9">
        <v>0</v>
      </c>
      <c r="Q134" s="10">
        <v>0.8</v>
      </c>
      <c r="R134" s="22"/>
      <c r="S134" s="116"/>
      <c r="T134" s="43">
        <v>2022</v>
      </c>
      <c r="U134" s="44">
        <v>1</v>
      </c>
      <c r="V134" s="44">
        <v>0.8</v>
      </c>
      <c r="W134" s="22"/>
    </row>
    <row r="135" spans="3:23" ht="14.4" thickBot="1" x14ac:dyDescent="0.3">
      <c r="E135" s="2"/>
      <c r="F135" s="2"/>
      <c r="G135" s="2"/>
      <c r="H135" s="22"/>
      <c r="L135" s="2"/>
      <c r="M135" s="2"/>
      <c r="N135" s="2"/>
      <c r="O135" s="2"/>
      <c r="P135" s="2"/>
      <c r="Q135" s="22"/>
      <c r="R135" s="22"/>
      <c r="S135" s="45"/>
      <c r="T135" s="42" t="s">
        <v>219</v>
      </c>
      <c r="U135" s="47">
        <f>SUM(U130:U134)/5</f>
        <v>0.79999999999999993</v>
      </c>
      <c r="V135" s="47">
        <f>SUM(V130:V134)/5</f>
        <v>0.64</v>
      </c>
      <c r="W135" s="22"/>
    </row>
    <row r="136" spans="3:23" ht="14.4" thickBot="1" x14ac:dyDescent="0.3">
      <c r="C136" s="108" t="s">
        <v>183</v>
      </c>
      <c r="D136" s="9">
        <v>2018</v>
      </c>
      <c r="E136" s="9">
        <v>1</v>
      </c>
      <c r="F136" s="9">
        <v>1</v>
      </c>
      <c r="G136" s="9">
        <v>1</v>
      </c>
      <c r="H136" s="10">
        <v>1</v>
      </c>
      <c r="J136" s="108" t="s">
        <v>183</v>
      </c>
      <c r="K136" s="9">
        <v>2018</v>
      </c>
      <c r="L136" s="9">
        <v>1</v>
      </c>
      <c r="M136" s="9">
        <v>1</v>
      </c>
      <c r="N136" s="9">
        <v>1</v>
      </c>
      <c r="O136" s="9">
        <v>0</v>
      </c>
      <c r="P136" s="9">
        <v>1</v>
      </c>
      <c r="Q136" s="10">
        <v>0.8</v>
      </c>
      <c r="R136" s="22"/>
      <c r="S136" s="115" t="s">
        <v>183</v>
      </c>
      <c r="T136" s="43">
        <v>2018</v>
      </c>
      <c r="U136" s="44">
        <v>1</v>
      </c>
      <c r="V136" s="44">
        <v>0.8</v>
      </c>
      <c r="W136" s="22"/>
    </row>
    <row r="137" spans="3:23" ht="14.4" thickBot="1" x14ac:dyDescent="0.3">
      <c r="C137" s="109"/>
      <c r="D137" s="9">
        <v>2019</v>
      </c>
      <c r="E137" s="9">
        <v>1</v>
      </c>
      <c r="F137" s="9">
        <v>1</v>
      </c>
      <c r="G137" s="9">
        <v>1</v>
      </c>
      <c r="H137" s="10">
        <v>1</v>
      </c>
      <c r="J137" s="109"/>
      <c r="K137" s="9">
        <v>2019</v>
      </c>
      <c r="L137" s="9">
        <v>1</v>
      </c>
      <c r="M137" s="9">
        <v>1</v>
      </c>
      <c r="N137" s="9">
        <v>1</v>
      </c>
      <c r="O137" s="9">
        <v>1</v>
      </c>
      <c r="P137" s="9">
        <v>0</v>
      </c>
      <c r="Q137" s="10">
        <v>0.8</v>
      </c>
      <c r="R137" s="22"/>
      <c r="S137" s="116"/>
      <c r="T137" s="43">
        <v>2019</v>
      </c>
      <c r="U137" s="44">
        <v>1</v>
      </c>
      <c r="V137" s="44">
        <v>0.8</v>
      </c>
      <c r="W137" s="22"/>
    </row>
    <row r="138" spans="3:23" ht="14.4" thickBot="1" x14ac:dyDescent="0.3">
      <c r="C138" s="109"/>
      <c r="D138" s="9">
        <v>2020</v>
      </c>
      <c r="E138" s="9">
        <v>1</v>
      </c>
      <c r="F138" s="9">
        <v>1</v>
      </c>
      <c r="G138" s="9">
        <v>0</v>
      </c>
      <c r="H138" s="10">
        <v>0.66666666666666663</v>
      </c>
      <c r="J138" s="109"/>
      <c r="K138" s="9">
        <v>2020</v>
      </c>
      <c r="L138" s="9">
        <v>1</v>
      </c>
      <c r="M138" s="9">
        <v>1</v>
      </c>
      <c r="N138" s="9">
        <v>0</v>
      </c>
      <c r="O138" s="9">
        <v>1</v>
      </c>
      <c r="P138" s="9">
        <v>0</v>
      </c>
      <c r="Q138" s="10">
        <v>0.6</v>
      </c>
      <c r="R138" s="22"/>
      <c r="S138" s="116"/>
      <c r="T138" s="43">
        <v>2020</v>
      </c>
      <c r="U138" s="44">
        <v>0.66666666666666663</v>
      </c>
      <c r="V138" s="44">
        <v>0.6</v>
      </c>
      <c r="W138" s="22"/>
    </row>
    <row r="139" spans="3:23" ht="14.4" thickBot="1" x14ac:dyDescent="0.3">
      <c r="C139" s="109"/>
      <c r="D139" s="9">
        <v>2021</v>
      </c>
      <c r="E139" s="9">
        <v>1</v>
      </c>
      <c r="F139" s="9">
        <v>1</v>
      </c>
      <c r="G139" s="9">
        <v>1</v>
      </c>
      <c r="H139" s="10">
        <v>1</v>
      </c>
      <c r="J139" s="109"/>
      <c r="K139" s="9">
        <v>2021</v>
      </c>
      <c r="L139" s="9">
        <v>1</v>
      </c>
      <c r="M139" s="9">
        <v>1</v>
      </c>
      <c r="N139" s="9">
        <v>1</v>
      </c>
      <c r="O139" s="9">
        <v>1</v>
      </c>
      <c r="P139" s="9">
        <v>0</v>
      </c>
      <c r="Q139" s="10">
        <v>0.8</v>
      </c>
      <c r="R139" s="22"/>
      <c r="S139" s="116"/>
      <c r="T139" s="43">
        <v>2021</v>
      </c>
      <c r="U139" s="44">
        <v>1</v>
      </c>
      <c r="V139" s="44">
        <v>0.8</v>
      </c>
      <c r="W139" s="22"/>
    </row>
    <row r="140" spans="3:23" ht="14.4" thickBot="1" x14ac:dyDescent="0.3">
      <c r="C140" s="110"/>
      <c r="D140" s="9">
        <v>2022</v>
      </c>
      <c r="E140" s="9">
        <v>1</v>
      </c>
      <c r="F140" s="9">
        <v>1</v>
      </c>
      <c r="G140" s="9">
        <v>0</v>
      </c>
      <c r="H140" s="10">
        <v>0.66666666666666663</v>
      </c>
      <c r="J140" s="110"/>
      <c r="K140" s="9">
        <v>2022</v>
      </c>
      <c r="L140" s="9">
        <v>1</v>
      </c>
      <c r="M140" s="9">
        <v>1</v>
      </c>
      <c r="N140" s="9">
        <v>0</v>
      </c>
      <c r="O140" s="9">
        <v>1</v>
      </c>
      <c r="P140" s="9">
        <v>1</v>
      </c>
      <c r="Q140" s="10">
        <v>0.8</v>
      </c>
      <c r="R140" s="22"/>
      <c r="S140" s="116"/>
      <c r="T140" s="43">
        <v>2022</v>
      </c>
      <c r="U140" s="44">
        <v>0.66666666666666663</v>
      </c>
      <c r="V140" s="44">
        <v>0.8</v>
      </c>
      <c r="W140" s="22"/>
    </row>
    <row r="141" spans="3:23" ht="14.4" thickBot="1" x14ac:dyDescent="0.3">
      <c r="E141" s="2"/>
      <c r="F141" s="2"/>
      <c r="G141" s="2"/>
      <c r="H141" s="22"/>
      <c r="L141" s="2"/>
      <c r="M141" s="2"/>
      <c r="N141" s="2"/>
      <c r="O141" s="2"/>
      <c r="P141" s="2"/>
      <c r="Q141" s="22"/>
      <c r="R141" s="22"/>
      <c r="S141" s="45"/>
      <c r="T141" s="42" t="s">
        <v>219</v>
      </c>
      <c r="U141" s="47">
        <f>SUM(U136:U140)/5</f>
        <v>0.86666666666666659</v>
      </c>
      <c r="V141" s="47">
        <f>SUM(V136:V140)/5</f>
        <v>0.76</v>
      </c>
      <c r="W141" s="22"/>
    </row>
    <row r="142" spans="3:23" ht="14.4" thickBot="1" x14ac:dyDescent="0.3">
      <c r="C142" s="108" t="s">
        <v>184</v>
      </c>
      <c r="D142" s="9">
        <v>2018</v>
      </c>
      <c r="E142" s="9">
        <v>1</v>
      </c>
      <c r="F142" s="9">
        <v>1</v>
      </c>
      <c r="G142" s="9">
        <v>1</v>
      </c>
      <c r="H142" s="10">
        <v>1</v>
      </c>
      <c r="J142" s="108" t="s">
        <v>184</v>
      </c>
      <c r="K142" s="9">
        <v>2018</v>
      </c>
      <c r="L142" s="9">
        <v>1</v>
      </c>
      <c r="M142" s="9">
        <v>1</v>
      </c>
      <c r="N142" s="9">
        <v>1</v>
      </c>
      <c r="O142" s="9">
        <v>0</v>
      </c>
      <c r="P142" s="9">
        <v>1</v>
      </c>
      <c r="Q142" s="10">
        <v>0.8</v>
      </c>
      <c r="R142" s="22"/>
      <c r="S142" s="115" t="s">
        <v>184</v>
      </c>
      <c r="T142" s="43">
        <v>2018</v>
      </c>
      <c r="U142" s="44">
        <v>1</v>
      </c>
      <c r="V142" s="44">
        <v>0.8</v>
      </c>
      <c r="W142" s="22"/>
    </row>
    <row r="143" spans="3:23" ht="14.4" thickBot="1" x14ac:dyDescent="0.3">
      <c r="C143" s="109"/>
      <c r="D143" s="9">
        <v>2019</v>
      </c>
      <c r="E143" s="9">
        <v>1</v>
      </c>
      <c r="F143" s="9">
        <v>1</v>
      </c>
      <c r="G143" s="9">
        <v>0</v>
      </c>
      <c r="H143" s="10">
        <v>0.66666666666666663</v>
      </c>
      <c r="J143" s="109"/>
      <c r="K143" s="9">
        <v>2019</v>
      </c>
      <c r="L143" s="9">
        <v>1</v>
      </c>
      <c r="M143" s="9">
        <v>1</v>
      </c>
      <c r="N143" s="9">
        <v>0</v>
      </c>
      <c r="O143" s="9">
        <v>1</v>
      </c>
      <c r="P143" s="9">
        <v>0</v>
      </c>
      <c r="Q143" s="10">
        <v>0.6</v>
      </c>
      <c r="R143" s="22"/>
      <c r="S143" s="116"/>
      <c r="T143" s="43">
        <v>2019</v>
      </c>
      <c r="U143" s="44">
        <v>0.66666666666666663</v>
      </c>
      <c r="V143" s="44">
        <v>0.6</v>
      </c>
      <c r="W143" s="22"/>
    </row>
    <row r="144" spans="3:23" ht="14.4" thickBot="1" x14ac:dyDescent="0.3">
      <c r="C144" s="109"/>
      <c r="D144" s="9">
        <v>2020</v>
      </c>
      <c r="E144" s="9">
        <v>1</v>
      </c>
      <c r="F144" s="9">
        <v>1</v>
      </c>
      <c r="G144" s="9">
        <v>1</v>
      </c>
      <c r="H144" s="10">
        <v>1</v>
      </c>
      <c r="J144" s="109"/>
      <c r="K144" s="9">
        <v>2020</v>
      </c>
      <c r="L144" s="9">
        <v>1</v>
      </c>
      <c r="M144" s="9">
        <v>1</v>
      </c>
      <c r="N144" s="9">
        <v>1</v>
      </c>
      <c r="O144" s="9">
        <v>0</v>
      </c>
      <c r="P144" s="9">
        <v>1</v>
      </c>
      <c r="Q144" s="10">
        <v>0.8</v>
      </c>
      <c r="R144" s="22"/>
      <c r="S144" s="116"/>
      <c r="T144" s="43">
        <v>2020</v>
      </c>
      <c r="U144" s="44">
        <v>1</v>
      </c>
      <c r="V144" s="44">
        <v>0.8</v>
      </c>
      <c r="W144" s="22"/>
    </row>
    <row r="145" spans="3:23" ht="14.4" thickBot="1" x14ac:dyDescent="0.3">
      <c r="C145" s="109"/>
      <c r="D145" s="9">
        <v>2021</v>
      </c>
      <c r="E145" s="9">
        <v>1</v>
      </c>
      <c r="F145" s="9">
        <v>1</v>
      </c>
      <c r="G145" s="9">
        <v>0</v>
      </c>
      <c r="H145" s="10">
        <v>0.66666666666666663</v>
      </c>
      <c r="J145" s="109"/>
      <c r="K145" s="9">
        <v>2021</v>
      </c>
      <c r="L145" s="9">
        <v>1</v>
      </c>
      <c r="M145" s="9">
        <v>1</v>
      </c>
      <c r="N145" s="9">
        <v>0</v>
      </c>
      <c r="O145" s="9">
        <v>1</v>
      </c>
      <c r="P145" s="9">
        <v>0</v>
      </c>
      <c r="Q145" s="10">
        <v>0.6</v>
      </c>
      <c r="R145" s="22"/>
      <c r="S145" s="116"/>
      <c r="T145" s="43">
        <v>2021</v>
      </c>
      <c r="U145" s="44">
        <v>0.66666666666666663</v>
      </c>
      <c r="V145" s="44">
        <v>0.6</v>
      </c>
      <c r="W145" s="22"/>
    </row>
    <row r="146" spans="3:23" ht="14.4" thickBot="1" x14ac:dyDescent="0.3">
      <c r="C146" s="110"/>
      <c r="D146" s="14">
        <v>2022</v>
      </c>
      <c r="E146" s="9">
        <v>1</v>
      </c>
      <c r="F146" s="9">
        <v>1</v>
      </c>
      <c r="G146" s="9">
        <v>0</v>
      </c>
      <c r="H146" s="10">
        <v>0.66666666666666663</v>
      </c>
      <c r="J146" s="110"/>
      <c r="K146" s="14">
        <v>2022</v>
      </c>
      <c r="L146" s="9">
        <v>1</v>
      </c>
      <c r="M146" s="9">
        <v>1</v>
      </c>
      <c r="N146" s="9">
        <v>0</v>
      </c>
      <c r="O146" s="9">
        <v>0</v>
      </c>
      <c r="P146" s="9">
        <v>0</v>
      </c>
      <c r="Q146" s="10">
        <v>0.4</v>
      </c>
      <c r="R146" s="22"/>
      <c r="S146" s="116"/>
      <c r="T146" s="43">
        <v>2022</v>
      </c>
      <c r="U146" s="44">
        <v>0.66666666666666663</v>
      </c>
      <c r="V146" s="44">
        <v>0.4</v>
      </c>
      <c r="W146" s="22"/>
    </row>
    <row r="147" spans="3:23" ht="14.4" thickBot="1" x14ac:dyDescent="0.3">
      <c r="E147" s="2"/>
      <c r="F147" s="2"/>
      <c r="G147" s="2"/>
      <c r="H147" s="22"/>
      <c r="L147" s="2"/>
      <c r="M147" s="2"/>
      <c r="N147" s="2"/>
      <c r="O147" s="2"/>
      <c r="P147" s="2"/>
      <c r="Q147" s="22"/>
      <c r="R147" s="22"/>
      <c r="S147" s="45"/>
      <c r="T147" s="42" t="s">
        <v>219</v>
      </c>
      <c r="U147" s="47">
        <f>SUM(U142:U146)/5</f>
        <v>0.79999999999999993</v>
      </c>
      <c r="V147" s="47">
        <f>SUM(V142:V146)/5</f>
        <v>0.64</v>
      </c>
      <c r="W147" s="22"/>
    </row>
    <row r="148" spans="3:23" ht="14.4" thickBot="1" x14ac:dyDescent="0.3">
      <c r="C148" s="108" t="s">
        <v>185</v>
      </c>
      <c r="D148" s="23">
        <v>2018</v>
      </c>
      <c r="E148" s="9">
        <v>1</v>
      </c>
      <c r="F148" s="9">
        <v>1</v>
      </c>
      <c r="G148" s="9">
        <v>0</v>
      </c>
      <c r="H148" s="10">
        <v>0.66666666666666663</v>
      </c>
      <c r="J148" s="108" t="s">
        <v>185</v>
      </c>
      <c r="K148" s="23">
        <v>2018</v>
      </c>
      <c r="L148" s="9">
        <v>1</v>
      </c>
      <c r="M148" s="9">
        <v>1</v>
      </c>
      <c r="N148" s="9">
        <v>0</v>
      </c>
      <c r="O148" s="9">
        <v>0</v>
      </c>
      <c r="P148" s="9">
        <v>1</v>
      </c>
      <c r="Q148" s="10">
        <v>0.6</v>
      </c>
      <c r="R148" s="22"/>
      <c r="S148" s="115" t="s">
        <v>185</v>
      </c>
      <c r="T148" s="43">
        <v>2018</v>
      </c>
      <c r="U148" s="44">
        <v>0.66666666666666663</v>
      </c>
      <c r="V148" s="44">
        <v>0.6</v>
      </c>
      <c r="W148" s="22"/>
    </row>
    <row r="149" spans="3:23" ht="14.4" thickBot="1" x14ac:dyDescent="0.3">
      <c r="C149" s="109"/>
      <c r="D149" s="9">
        <v>2019</v>
      </c>
      <c r="E149" s="9">
        <v>1</v>
      </c>
      <c r="F149" s="9">
        <v>1</v>
      </c>
      <c r="G149" s="9">
        <v>0</v>
      </c>
      <c r="H149" s="10">
        <v>0.66666666666666663</v>
      </c>
      <c r="J149" s="109"/>
      <c r="K149" s="9">
        <v>2019</v>
      </c>
      <c r="L149" s="9">
        <v>1</v>
      </c>
      <c r="M149" s="9">
        <v>1</v>
      </c>
      <c r="N149" s="9">
        <v>0</v>
      </c>
      <c r="O149" s="9">
        <v>0</v>
      </c>
      <c r="P149" s="9">
        <v>0</v>
      </c>
      <c r="Q149" s="10">
        <v>0.4</v>
      </c>
      <c r="R149" s="22"/>
      <c r="S149" s="116"/>
      <c r="T149" s="43">
        <v>2019</v>
      </c>
      <c r="U149" s="44">
        <v>0.66666666666666663</v>
      </c>
      <c r="V149" s="44">
        <v>0.4</v>
      </c>
      <c r="W149" s="22"/>
    </row>
    <row r="150" spans="3:23" ht="14.4" thickBot="1" x14ac:dyDescent="0.3">
      <c r="C150" s="109"/>
      <c r="D150" s="9">
        <v>2020</v>
      </c>
      <c r="E150" s="9">
        <v>1</v>
      </c>
      <c r="F150" s="9">
        <v>1</v>
      </c>
      <c r="G150" s="9">
        <v>1</v>
      </c>
      <c r="H150" s="10">
        <v>1</v>
      </c>
      <c r="J150" s="109"/>
      <c r="K150" s="9">
        <v>2020</v>
      </c>
      <c r="L150" s="9">
        <v>1</v>
      </c>
      <c r="M150" s="9">
        <v>1</v>
      </c>
      <c r="N150" s="9">
        <v>1</v>
      </c>
      <c r="O150" s="9">
        <v>0</v>
      </c>
      <c r="P150" s="9">
        <v>1</v>
      </c>
      <c r="Q150" s="10">
        <v>0.8</v>
      </c>
      <c r="R150" s="22"/>
      <c r="S150" s="116"/>
      <c r="T150" s="43">
        <v>2020</v>
      </c>
      <c r="U150" s="44">
        <v>1</v>
      </c>
      <c r="V150" s="44">
        <v>0.8</v>
      </c>
      <c r="W150" s="22"/>
    </row>
    <row r="151" spans="3:23" ht="14.4" thickBot="1" x14ac:dyDescent="0.3">
      <c r="C151" s="109"/>
      <c r="D151" s="9">
        <v>2021</v>
      </c>
      <c r="E151" s="9">
        <v>1</v>
      </c>
      <c r="F151" s="9">
        <v>1</v>
      </c>
      <c r="G151" s="9">
        <v>1</v>
      </c>
      <c r="H151" s="10">
        <v>1</v>
      </c>
      <c r="J151" s="109"/>
      <c r="K151" s="9">
        <v>2021</v>
      </c>
      <c r="L151" s="9">
        <v>1</v>
      </c>
      <c r="M151" s="9">
        <v>1</v>
      </c>
      <c r="N151" s="9">
        <v>1</v>
      </c>
      <c r="O151" s="9">
        <v>0</v>
      </c>
      <c r="P151" s="9">
        <v>1</v>
      </c>
      <c r="Q151" s="10">
        <v>0.8</v>
      </c>
      <c r="R151" s="22"/>
      <c r="S151" s="116"/>
      <c r="T151" s="43">
        <v>2021</v>
      </c>
      <c r="U151" s="44">
        <v>1</v>
      </c>
      <c r="V151" s="44">
        <v>0.8</v>
      </c>
      <c r="W151" s="22"/>
    </row>
    <row r="152" spans="3:23" ht="14.4" thickBot="1" x14ac:dyDescent="0.3">
      <c r="C152" s="110"/>
      <c r="D152" s="24">
        <v>2022</v>
      </c>
      <c r="E152" s="9">
        <v>1</v>
      </c>
      <c r="F152" s="9">
        <v>1</v>
      </c>
      <c r="G152" s="9">
        <v>1</v>
      </c>
      <c r="H152" s="10">
        <v>1</v>
      </c>
      <c r="J152" s="110"/>
      <c r="K152" s="24">
        <v>2022</v>
      </c>
      <c r="L152" s="9">
        <v>1</v>
      </c>
      <c r="M152" s="9">
        <v>1</v>
      </c>
      <c r="N152" s="9">
        <v>1</v>
      </c>
      <c r="O152" s="9">
        <v>0</v>
      </c>
      <c r="P152" s="9">
        <v>1</v>
      </c>
      <c r="Q152" s="10">
        <v>0.8</v>
      </c>
      <c r="R152" s="22"/>
      <c r="S152" s="116"/>
      <c r="T152" s="43">
        <v>2022</v>
      </c>
      <c r="U152" s="44">
        <v>1</v>
      </c>
      <c r="V152" s="44">
        <v>0.8</v>
      </c>
      <c r="W152" s="22"/>
    </row>
    <row r="153" spans="3:23" ht="14.4" thickBot="1" x14ac:dyDescent="0.3">
      <c r="E153" s="2"/>
      <c r="F153" s="2"/>
      <c r="G153" s="2"/>
      <c r="H153" s="22"/>
      <c r="L153" s="2"/>
      <c r="M153" s="2"/>
      <c r="N153" s="2"/>
      <c r="O153" s="2"/>
      <c r="P153" s="2"/>
      <c r="Q153" s="22"/>
      <c r="R153" s="22"/>
      <c r="S153" s="45"/>
      <c r="T153" s="42" t="s">
        <v>219</v>
      </c>
      <c r="U153" s="47">
        <f>SUM(U148:U152)/5</f>
        <v>0.86666666666666659</v>
      </c>
      <c r="V153" s="47">
        <f>SUM(V148:V152)/5</f>
        <v>0.68</v>
      </c>
      <c r="W153" s="22"/>
    </row>
    <row r="154" spans="3:23" ht="14.4" thickBot="1" x14ac:dyDescent="0.3">
      <c r="C154" s="108" t="s">
        <v>186</v>
      </c>
      <c r="D154" s="23">
        <v>2018</v>
      </c>
      <c r="E154" s="9">
        <v>1</v>
      </c>
      <c r="F154" s="9">
        <v>1</v>
      </c>
      <c r="G154" s="9">
        <v>0</v>
      </c>
      <c r="H154" s="10">
        <v>0.66666666666666663</v>
      </c>
      <c r="J154" s="108" t="s">
        <v>186</v>
      </c>
      <c r="K154" s="23">
        <v>2018</v>
      </c>
      <c r="L154" s="9">
        <v>1</v>
      </c>
      <c r="M154" s="9">
        <v>1</v>
      </c>
      <c r="N154" s="9">
        <v>0</v>
      </c>
      <c r="O154" s="9">
        <v>0</v>
      </c>
      <c r="P154" s="9">
        <v>0</v>
      </c>
      <c r="Q154" s="10">
        <v>0.4</v>
      </c>
      <c r="R154" s="22"/>
      <c r="S154" s="115" t="s">
        <v>186</v>
      </c>
      <c r="T154" s="43">
        <v>2018</v>
      </c>
      <c r="U154" s="44">
        <v>0.66666666666666663</v>
      </c>
      <c r="V154" s="44">
        <v>0.4</v>
      </c>
      <c r="W154" s="22"/>
    </row>
    <row r="155" spans="3:23" ht="14.4" thickBot="1" x14ac:dyDescent="0.3">
      <c r="C155" s="109"/>
      <c r="D155" s="9">
        <v>2019</v>
      </c>
      <c r="E155" s="9">
        <v>1</v>
      </c>
      <c r="F155" s="9">
        <v>1</v>
      </c>
      <c r="G155" s="9">
        <v>1</v>
      </c>
      <c r="H155" s="10">
        <v>1</v>
      </c>
      <c r="J155" s="109"/>
      <c r="K155" s="9">
        <v>2019</v>
      </c>
      <c r="L155" s="9">
        <v>1</v>
      </c>
      <c r="M155" s="9">
        <v>1</v>
      </c>
      <c r="N155" s="9">
        <v>1</v>
      </c>
      <c r="O155" s="9">
        <v>1</v>
      </c>
      <c r="P155" s="9">
        <v>0</v>
      </c>
      <c r="Q155" s="10">
        <v>0.8</v>
      </c>
      <c r="R155" s="22"/>
      <c r="S155" s="116"/>
      <c r="T155" s="43">
        <v>2019</v>
      </c>
      <c r="U155" s="44">
        <v>1</v>
      </c>
      <c r="V155" s="44">
        <v>0.8</v>
      </c>
      <c r="W155" s="22"/>
    </row>
    <row r="156" spans="3:23" ht="14.4" thickBot="1" x14ac:dyDescent="0.3">
      <c r="C156" s="109"/>
      <c r="D156" s="9">
        <v>2020</v>
      </c>
      <c r="E156" s="9">
        <v>1</v>
      </c>
      <c r="F156" s="9">
        <v>1</v>
      </c>
      <c r="G156" s="9">
        <v>1</v>
      </c>
      <c r="H156" s="10">
        <v>1</v>
      </c>
      <c r="J156" s="109"/>
      <c r="K156" s="9">
        <v>2020</v>
      </c>
      <c r="L156" s="9">
        <v>1</v>
      </c>
      <c r="M156" s="9">
        <v>1</v>
      </c>
      <c r="N156" s="9">
        <v>1</v>
      </c>
      <c r="O156" s="9">
        <v>1</v>
      </c>
      <c r="P156" s="9">
        <v>0</v>
      </c>
      <c r="Q156" s="10">
        <v>0.8</v>
      </c>
      <c r="R156" s="22"/>
      <c r="S156" s="116"/>
      <c r="T156" s="43">
        <v>2020</v>
      </c>
      <c r="U156" s="44">
        <v>1</v>
      </c>
      <c r="V156" s="44">
        <v>0.8</v>
      </c>
      <c r="W156" s="22"/>
    </row>
    <row r="157" spans="3:23" ht="14.4" thickBot="1" x14ac:dyDescent="0.3">
      <c r="C157" s="109"/>
      <c r="D157" s="9">
        <v>2021</v>
      </c>
      <c r="E157" s="9">
        <v>1</v>
      </c>
      <c r="F157" s="9">
        <v>1</v>
      </c>
      <c r="G157" s="9">
        <v>1</v>
      </c>
      <c r="H157" s="10">
        <v>1</v>
      </c>
      <c r="J157" s="109"/>
      <c r="K157" s="9">
        <v>2021</v>
      </c>
      <c r="L157" s="9">
        <v>1</v>
      </c>
      <c r="M157" s="9">
        <v>1</v>
      </c>
      <c r="N157" s="9">
        <v>1</v>
      </c>
      <c r="O157" s="9">
        <v>1</v>
      </c>
      <c r="P157" s="9">
        <v>1</v>
      </c>
      <c r="Q157" s="10">
        <v>1</v>
      </c>
      <c r="R157" s="22"/>
      <c r="S157" s="116"/>
      <c r="T157" s="43">
        <v>2021</v>
      </c>
      <c r="U157" s="44">
        <v>1</v>
      </c>
      <c r="V157" s="44">
        <v>1</v>
      </c>
      <c r="W157" s="22"/>
    </row>
    <row r="158" spans="3:23" ht="14.4" thickBot="1" x14ac:dyDescent="0.3">
      <c r="C158" s="110"/>
      <c r="D158" s="24">
        <v>2022</v>
      </c>
      <c r="E158" s="9">
        <v>1</v>
      </c>
      <c r="F158" s="9">
        <v>1</v>
      </c>
      <c r="G158" s="9">
        <v>1</v>
      </c>
      <c r="H158" s="10">
        <v>1</v>
      </c>
      <c r="J158" s="110"/>
      <c r="K158" s="24">
        <v>2022</v>
      </c>
      <c r="L158" s="9">
        <v>1</v>
      </c>
      <c r="M158" s="9">
        <v>1</v>
      </c>
      <c r="N158" s="9">
        <v>1</v>
      </c>
      <c r="O158" s="9">
        <v>1</v>
      </c>
      <c r="P158" s="9">
        <v>1</v>
      </c>
      <c r="Q158" s="10">
        <v>1</v>
      </c>
      <c r="R158" s="22"/>
      <c r="S158" s="116"/>
      <c r="T158" s="43">
        <v>2022</v>
      </c>
      <c r="U158" s="44">
        <v>1</v>
      </c>
      <c r="V158" s="44">
        <v>1</v>
      </c>
      <c r="W158" s="22"/>
    </row>
    <row r="159" spans="3:23" ht="14.4" thickBot="1" x14ac:dyDescent="0.3">
      <c r="E159" s="2"/>
      <c r="F159" s="2"/>
      <c r="G159" s="2"/>
      <c r="H159" s="22"/>
      <c r="L159" s="2"/>
      <c r="M159" s="2"/>
      <c r="N159" s="2"/>
      <c r="O159" s="2"/>
      <c r="P159" s="2"/>
      <c r="Q159" s="22"/>
      <c r="R159" s="22"/>
      <c r="S159" s="45"/>
      <c r="T159" s="42" t="s">
        <v>219</v>
      </c>
      <c r="U159" s="47">
        <f>SUM(U154:U158)/5</f>
        <v>0.93333333333333324</v>
      </c>
      <c r="V159" s="47">
        <f>SUM(V154:V158)/5</f>
        <v>0.8</v>
      </c>
      <c r="W159" s="22"/>
    </row>
    <row r="160" spans="3:23" x14ac:dyDescent="0.25">
      <c r="E160" s="2"/>
      <c r="F160" s="2"/>
      <c r="G160" s="2"/>
      <c r="H160" s="22"/>
      <c r="L160" s="2"/>
      <c r="M160" s="2"/>
      <c r="N160" s="2"/>
      <c r="O160" s="2"/>
      <c r="P160" s="2"/>
      <c r="Q160" s="22"/>
      <c r="R160" s="22"/>
      <c r="U160" s="71"/>
      <c r="V160" s="71"/>
      <c r="W160" s="22"/>
    </row>
    <row r="161" spans="5:23" x14ac:dyDescent="0.25">
      <c r="E161" s="2"/>
      <c r="F161" s="2"/>
      <c r="G161" s="2"/>
      <c r="H161" s="22"/>
      <c r="L161" s="2"/>
      <c r="M161" s="2"/>
      <c r="N161" s="2"/>
      <c r="O161" s="2"/>
      <c r="P161" s="2"/>
      <c r="Q161" s="22"/>
      <c r="R161" s="22"/>
      <c r="U161" s="71"/>
      <c r="V161" s="71"/>
      <c r="W161" s="22"/>
    </row>
    <row r="162" spans="5:23" x14ac:dyDescent="0.25">
      <c r="E162" s="2"/>
      <c r="F162" s="2"/>
      <c r="G162" s="2"/>
      <c r="H162" s="22"/>
      <c r="L162" s="2"/>
      <c r="M162" s="2"/>
      <c r="N162" s="2"/>
      <c r="O162" s="2"/>
      <c r="P162" s="2"/>
      <c r="Q162" s="22"/>
      <c r="R162" s="22"/>
      <c r="U162" s="71"/>
      <c r="V162" s="71"/>
      <c r="W162" s="22"/>
    </row>
    <row r="163" spans="5:23" x14ac:dyDescent="0.25">
      <c r="E163" s="2"/>
      <c r="F163" s="2"/>
      <c r="G163" s="2"/>
      <c r="H163" s="22"/>
      <c r="L163" s="2"/>
      <c r="M163" s="2"/>
      <c r="N163" s="2"/>
      <c r="O163" s="2"/>
      <c r="P163" s="2"/>
      <c r="Q163" s="22"/>
      <c r="R163" s="22"/>
      <c r="U163" s="71"/>
      <c r="V163" s="71"/>
      <c r="W163" s="22"/>
    </row>
    <row r="164" spans="5:23" x14ac:dyDescent="0.25">
      <c r="E164" s="2"/>
      <c r="F164" s="2"/>
      <c r="G164" s="2"/>
      <c r="H164" s="22"/>
      <c r="L164" s="2"/>
      <c r="M164" s="2"/>
      <c r="N164" s="2"/>
      <c r="O164" s="2"/>
      <c r="P164" s="2"/>
      <c r="Q164" s="22"/>
      <c r="R164" s="22"/>
      <c r="U164" s="71"/>
      <c r="V164" s="71"/>
      <c r="W164" s="22"/>
    </row>
    <row r="165" spans="5:23" x14ac:dyDescent="0.25">
      <c r="E165" s="2"/>
      <c r="F165" s="2"/>
      <c r="G165" s="2"/>
      <c r="H165" s="22"/>
      <c r="L165" s="2"/>
      <c r="M165" s="2"/>
      <c r="N165" s="2"/>
      <c r="O165" s="2"/>
      <c r="P165" s="2"/>
      <c r="Q165" s="22"/>
      <c r="R165" s="22"/>
      <c r="U165" s="71"/>
      <c r="V165" s="71"/>
      <c r="W165" s="22"/>
    </row>
    <row r="166" spans="5:23" x14ac:dyDescent="0.25">
      <c r="E166" s="2"/>
      <c r="F166" s="2"/>
      <c r="G166" s="2"/>
      <c r="H166" s="22"/>
      <c r="L166" s="2"/>
      <c r="M166" s="2"/>
      <c r="N166" s="2"/>
      <c r="O166" s="2"/>
      <c r="P166" s="2"/>
      <c r="Q166" s="22"/>
      <c r="R166" s="22"/>
      <c r="U166" s="71"/>
      <c r="V166" s="71"/>
      <c r="W166" s="22"/>
    </row>
    <row r="167" spans="5:23" x14ac:dyDescent="0.25">
      <c r="E167" s="2"/>
      <c r="F167" s="2"/>
      <c r="G167" s="2"/>
      <c r="H167" s="22"/>
      <c r="L167" s="2"/>
      <c r="M167" s="2"/>
      <c r="N167" s="2"/>
      <c r="O167" s="2"/>
      <c r="P167" s="2"/>
      <c r="Q167" s="22"/>
      <c r="R167" s="22"/>
      <c r="U167" s="71"/>
      <c r="V167" s="71"/>
      <c r="W167" s="22"/>
    </row>
    <row r="168" spans="5:23" x14ac:dyDescent="0.25">
      <c r="E168" s="2"/>
      <c r="F168" s="2"/>
      <c r="G168" s="2"/>
      <c r="H168" s="22"/>
      <c r="L168" s="2"/>
      <c r="M168" s="2"/>
      <c r="N168" s="2"/>
      <c r="O168" s="2"/>
      <c r="P168" s="2"/>
      <c r="Q168" s="22"/>
      <c r="R168" s="22"/>
      <c r="U168" s="71"/>
      <c r="V168" s="71"/>
      <c r="W168" s="22"/>
    </row>
    <row r="169" spans="5:23" x14ac:dyDescent="0.25">
      <c r="E169" s="2"/>
      <c r="F169" s="2"/>
      <c r="G169" s="2"/>
      <c r="H169" s="22"/>
      <c r="L169" s="2"/>
      <c r="M169" s="2"/>
      <c r="N169" s="2"/>
      <c r="O169" s="2"/>
      <c r="P169" s="2"/>
      <c r="Q169" s="22"/>
      <c r="R169" s="22"/>
      <c r="U169" s="71"/>
      <c r="V169" s="71"/>
      <c r="W169" s="22"/>
    </row>
    <row r="170" spans="5:23" x14ac:dyDescent="0.25">
      <c r="E170" s="2"/>
      <c r="F170" s="2"/>
      <c r="G170" s="2"/>
      <c r="H170" s="22"/>
      <c r="L170" s="2"/>
      <c r="M170" s="2"/>
      <c r="N170" s="2"/>
      <c r="O170" s="2"/>
      <c r="P170" s="2"/>
      <c r="Q170" s="22"/>
      <c r="R170" s="22"/>
      <c r="U170" s="71"/>
      <c r="V170" s="71"/>
      <c r="W170" s="22"/>
    </row>
    <row r="171" spans="5:23" x14ac:dyDescent="0.25">
      <c r="E171" s="2"/>
      <c r="F171" s="2"/>
      <c r="G171" s="2"/>
      <c r="H171" s="22"/>
      <c r="L171" s="2"/>
      <c r="M171" s="2"/>
      <c r="N171" s="2"/>
      <c r="O171" s="2"/>
      <c r="P171" s="2"/>
      <c r="Q171" s="22"/>
      <c r="R171" s="22"/>
      <c r="U171" s="71"/>
      <c r="V171" s="71"/>
      <c r="W171" s="22"/>
    </row>
    <row r="172" spans="5:23" x14ac:dyDescent="0.25">
      <c r="E172" s="2"/>
      <c r="F172" s="2"/>
      <c r="G172" s="2"/>
      <c r="H172" s="22"/>
      <c r="L172" s="2"/>
      <c r="M172" s="2"/>
      <c r="N172" s="2"/>
      <c r="O172" s="2"/>
      <c r="P172" s="2"/>
      <c r="Q172" s="22"/>
      <c r="R172" s="22"/>
      <c r="U172" s="71"/>
      <c r="V172" s="71"/>
      <c r="W172" s="22"/>
    </row>
    <row r="173" spans="5:23" x14ac:dyDescent="0.25">
      <c r="E173" s="2"/>
      <c r="F173" s="2"/>
      <c r="G173" s="2"/>
      <c r="H173" s="22"/>
      <c r="L173" s="2"/>
      <c r="M173" s="2"/>
      <c r="N173" s="2"/>
      <c r="O173" s="2"/>
      <c r="P173" s="2"/>
      <c r="Q173" s="22"/>
      <c r="R173" s="22"/>
      <c r="U173" s="71"/>
      <c r="V173" s="71"/>
      <c r="W173" s="22"/>
    </row>
    <row r="174" spans="5:23" x14ac:dyDescent="0.25">
      <c r="E174" s="2"/>
      <c r="F174" s="2"/>
      <c r="G174" s="2"/>
      <c r="H174" s="22"/>
      <c r="L174" s="2"/>
      <c r="M174" s="2"/>
      <c r="N174" s="2"/>
      <c r="O174" s="2"/>
      <c r="P174" s="2"/>
      <c r="Q174" s="22"/>
      <c r="R174" s="22"/>
      <c r="U174" s="71"/>
      <c r="V174" s="71"/>
      <c r="W174" s="22"/>
    </row>
    <row r="175" spans="5:23" x14ac:dyDescent="0.25">
      <c r="E175" s="2"/>
      <c r="F175" s="2"/>
      <c r="G175" s="2"/>
      <c r="H175" s="22"/>
      <c r="L175" s="2"/>
      <c r="M175" s="2"/>
      <c r="N175" s="2"/>
      <c r="O175" s="2"/>
      <c r="P175" s="2"/>
      <c r="Q175" s="22"/>
      <c r="R175" s="22"/>
      <c r="U175" s="71"/>
      <c r="V175" s="71"/>
      <c r="W175" s="22"/>
    </row>
    <row r="176" spans="5:23" x14ac:dyDescent="0.25">
      <c r="E176" s="2"/>
      <c r="F176" s="2"/>
      <c r="G176" s="2"/>
      <c r="H176" s="22"/>
      <c r="L176" s="2"/>
      <c r="M176" s="2"/>
      <c r="N176" s="2"/>
      <c r="O176" s="2"/>
      <c r="P176" s="2"/>
      <c r="Q176" s="22"/>
      <c r="R176" s="22"/>
      <c r="U176" s="71"/>
      <c r="V176" s="71"/>
      <c r="W176" s="22"/>
    </row>
    <row r="177" spans="5:23" x14ac:dyDescent="0.25">
      <c r="E177" s="2"/>
      <c r="F177" s="2"/>
      <c r="G177" s="2"/>
      <c r="H177" s="22"/>
      <c r="L177" s="2"/>
      <c r="M177" s="2"/>
      <c r="N177" s="2"/>
      <c r="O177" s="2"/>
      <c r="P177" s="2"/>
      <c r="Q177" s="22"/>
      <c r="R177" s="22"/>
      <c r="U177" s="71"/>
      <c r="V177" s="71"/>
      <c r="W177" s="22"/>
    </row>
    <row r="178" spans="5:23" x14ac:dyDescent="0.25">
      <c r="E178" s="2"/>
      <c r="F178" s="2"/>
      <c r="G178" s="2"/>
      <c r="H178" s="22"/>
      <c r="L178" s="2"/>
      <c r="M178" s="2"/>
      <c r="N178" s="2"/>
      <c r="O178" s="2"/>
      <c r="P178" s="2"/>
      <c r="Q178" s="22"/>
      <c r="R178" s="22"/>
      <c r="U178" s="71"/>
      <c r="V178" s="71"/>
      <c r="W178" s="22"/>
    </row>
    <row r="179" spans="5:23" x14ac:dyDescent="0.25">
      <c r="E179" s="2"/>
      <c r="F179" s="2"/>
      <c r="G179" s="2"/>
      <c r="H179" s="22"/>
      <c r="L179" s="2"/>
      <c r="M179" s="2"/>
      <c r="N179" s="2"/>
      <c r="O179" s="2"/>
      <c r="P179" s="2"/>
      <c r="Q179" s="22"/>
      <c r="R179" s="22"/>
      <c r="U179" s="71"/>
      <c r="V179" s="71"/>
      <c r="W179" s="22"/>
    </row>
    <row r="180" spans="5:23" x14ac:dyDescent="0.25">
      <c r="E180" s="2"/>
      <c r="F180" s="2"/>
      <c r="G180" s="2"/>
      <c r="H180" s="22"/>
      <c r="L180" s="2"/>
      <c r="M180" s="2"/>
      <c r="N180" s="2"/>
      <c r="O180" s="2"/>
      <c r="P180" s="2"/>
      <c r="Q180" s="22"/>
      <c r="R180" s="22"/>
      <c r="U180" s="71"/>
      <c r="V180" s="71"/>
      <c r="W180" s="22"/>
    </row>
    <row r="181" spans="5:23" x14ac:dyDescent="0.25">
      <c r="E181" s="2"/>
      <c r="F181" s="2"/>
      <c r="G181" s="2"/>
      <c r="H181" s="22"/>
      <c r="L181" s="2"/>
      <c r="M181" s="2"/>
      <c r="N181" s="2"/>
      <c r="O181" s="2"/>
      <c r="P181" s="2"/>
      <c r="Q181" s="22"/>
      <c r="R181" s="22"/>
      <c r="U181" s="71"/>
      <c r="V181" s="71"/>
      <c r="W181" s="22"/>
    </row>
    <row r="182" spans="5:23" x14ac:dyDescent="0.25">
      <c r="E182" s="2"/>
      <c r="F182" s="2"/>
      <c r="G182" s="2"/>
      <c r="H182" s="22"/>
      <c r="L182" s="2"/>
      <c r="M182" s="2"/>
      <c r="N182" s="2"/>
      <c r="O182" s="2"/>
      <c r="P182" s="2"/>
      <c r="Q182" s="22"/>
      <c r="R182" s="22"/>
      <c r="U182" s="71"/>
      <c r="V182" s="71"/>
      <c r="W182" s="22"/>
    </row>
    <row r="183" spans="5:23" x14ac:dyDescent="0.25">
      <c r="E183" s="2"/>
      <c r="F183" s="2"/>
      <c r="G183" s="2"/>
      <c r="H183" s="22"/>
      <c r="L183" s="2"/>
      <c r="M183" s="2"/>
      <c r="N183" s="2"/>
      <c r="O183" s="2"/>
      <c r="P183" s="2"/>
      <c r="Q183" s="22"/>
      <c r="R183" s="22"/>
      <c r="U183" s="71"/>
      <c r="V183" s="71"/>
      <c r="W183" s="22"/>
    </row>
    <row r="184" spans="5:23" x14ac:dyDescent="0.25">
      <c r="E184" s="2"/>
      <c r="F184" s="2"/>
      <c r="G184" s="2"/>
      <c r="H184" s="22"/>
      <c r="L184" s="2"/>
      <c r="M184" s="2"/>
      <c r="N184" s="2"/>
      <c r="O184" s="2"/>
      <c r="P184" s="2"/>
      <c r="Q184" s="22"/>
      <c r="R184" s="22"/>
      <c r="U184" s="71"/>
      <c r="V184" s="71"/>
      <c r="W184" s="22"/>
    </row>
    <row r="185" spans="5:23" x14ac:dyDescent="0.25">
      <c r="E185" s="2"/>
      <c r="F185" s="2"/>
      <c r="G185" s="2"/>
      <c r="H185" s="22"/>
      <c r="L185" s="2"/>
      <c r="M185" s="2"/>
      <c r="N185" s="2"/>
      <c r="O185" s="2"/>
      <c r="P185" s="2"/>
      <c r="Q185" s="22"/>
      <c r="R185" s="22"/>
      <c r="U185" s="71"/>
      <c r="V185" s="71"/>
      <c r="W185" s="22"/>
    </row>
    <row r="186" spans="5:23" x14ac:dyDescent="0.25">
      <c r="E186" s="2"/>
      <c r="F186" s="2"/>
      <c r="G186" s="2"/>
      <c r="H186" s="22"/>
      <c r="L186" s="2"/>
      <c r="M186" s="2"/>
      <c r="N186" s="2"/>
      <c r="O186" s="2"/>
      <c r="P186" s="2"/>
      <c r="Q186" s="22"/>
      <c r="R186" s="22"/>
      <c r="U186" s="71"/>
      <c r="V186" s="71"/>
      <c r="W186" s="22"/>
    </row>
    <row r="187" spans="5:23" x14ac:dyDescent="0.25">
      <c r="E187" s="2"/>
      <c r="F187" s="2"/>
      <c r="G187" s="2"/>
      <c r="H187" s="22"/>
      <c r="L187" s="2"/>
      <c r="M187" s="2"/>
      <c r="N187" s="2"/>
      <c r="O187" s="2"/>
      <c r="P187" s="2"/>
      <c r="Q187" s="22"/>
      <c r="R187" s="22"/>
      <c r="U187" s="71"/>
      <c r="V187" s="71"/>
      <c r="W187" s="22"/>
    </row>
    <row r="188" spans="5:23" x14ac:dyDescent="0.25">
      <c r="E188" s="2"/>
      <c r="F188" s="2"/>
      <c r="G188" s="2"/>
      <c r="H188" s="22"/>
      <c r="L188" s="2"/>
      <c r="M188" s="2"/>
      <c r="N188" s="2"/>
      <c r="O188" s="2"/>
      <c r="P188" s="2"/>
      <c r="Q188" s="22"/>
      <c r="R188" s="22"/>
      <c r="U188" s="71"/>
      <c r="V188" s="71"/>
      <c r="W188" s="22"/>
    </row>
    <row r="189" spans="5:23" x14ac:dyDescent="0.25">
      <c r="E189" s="2"/>
      <c r="F189" s="2"/>
      <c r="G189" s="2"/>
      <c r="H189" s="22"/>
      <c r="L189" s="2"/>
      <c r="M189" s="2"/>
      <c r="N189" s="2"/>
      <c r="O189" s="2"/>
      <c r="P189" s="2"/>
      <c r="Q189" s="22"/>
      <c r="R189" s="22"/>
      <c r="U189" s="71"/>
      <c r="V189" s="71"/>
      <c r="W189" s="22"/>
    </row>
    <row r="190" spans="5:23" x14ac:dyDescent="0.25">
      <c r="E190" s="2"/>
      <c r="F190" s="2"/>
      <c r="G190" s="2"/>
      <c r="H190" s="22"/>
      <c r="L190" s="2"/>
      <c r="M190" s="2"/>
      <c r="N190" s="2"/>
      <c r="O190" s="2"/>
      <c r="P190" s="2"/>
      <c r="Q190" s="22"/>
      <c r="R190" s="22"/>
      <c r="U190" s="71"/>
      <c r="V190" s="71"/>
      <c r="W190" s="22"/>
    </row>
    <row r="191" spans="5:23" x14ac:dyDescent="0.25">
      <c r="E191" s="2"/>
      <c r="F191" s="2"/>
      <c r="G191" s="2"/>
      <c r="H191" s="22"/>
      <c r="L191" s="2"/>
      <c r="M191" s="2"/>
      <c r="N191" s="2"/>
      <c r="O191" s="2"/>
      <c r="P191" s="2"/>
      <c r="Q191" s="22"/>
      <c r="R191" s="22"/>
      <c r="U191" s="71"/>
      <c r="V191" s="71"/>
      <c r="W191" s="22"/>
    </row>
    <row r="192" spans="5:23" x14ac:dyDescent="0.25">
      <c r="E192" s="2"/>
      <c r="F192" s="2"/>
      <c r="G192" s="2"/>
      <c r="H192" s="22"/>
      <c r="L192" s="2"/>
      <c r="M192" s="2"/>
      <c r="N192" s="2"/>
      <c r="O192" s="2"/>
      <c r="P192" s="2"/>
      <c r="Q192" s="22"/>
      <c r="R192" s="22"/>
      <c r="U192" s="71"/>
      <c r="V192" s="71"/>
      <c r="W192" s="22"/>
    </row>
    <row r="193" spans="5:23" x14ac:dyDescent="0.25">
      <c r="E193" s="2"/>
      <c r="F193" s="2"/>
      <c r="G193" s="2"/>
      <c r="H193" s="22"/>
      <c r="L193" s="2"/>
      <c r="M193" s="2"/>
      <c r="N193" s="2"/>
      <c r="O193" s="2"/>
      <c r="P193" s="2"/>
      <c r="Q193" s="22"/>
      <c r="R193" s="22"/>
      <c r="U193" s="71"/>
      <c r="V193" s="71"/>
      <c r="W193" s="22"/>
    </row>
    <row r="194" spans="5:23" x14ac:dyDescent="0.25">
      <c r="E194" s="2"/>
      <c r="F194" s="2"/>
      <c r="G194" s="2"/>
      <c r="H194" s="22"/>
      <c r="L194" s="2"/>
      <c r="M194" s="2"/>
      <c r="N194" s="2"/>
      <c r="O194" s="2"/>
      <c r="P194" s="2"/>
      <c r="Q194" s="22"/>
      <c r="R194" s="22"/>
      <c r="U194" s="71"/>
      <c r="V194" s="71"/>
      <c r="W194" s="22"/>
    </row>
    <row r="195" spans="5:23" x14ac:dyDescent="0.25">
      <c r="E195" s="2"/>
      <c r="F195" s="2"/>
      <c r="G195" s="2"/>
      <c r="H195" s="22"/>
      <c r="L195" s="2"/>
      <c r="M195" s="2"/>
      <c r="N195" s="2"/>
      <c r="O195" s="2"/>
      <c r="P195" s="2"/>
      <c r="Q195" s="22"/>
      <c r="R195" s="22"/>
      <c r="U195" s="71"/>
      <c r="V195" s="71"/>
      <c r="W195" s="22"/>
    </row>
    <row r="196" spans="5:23" x14ac:dyDescent="0.25">
      <c r="E196" s="2"/>
      <c r="F196" s="2"/>
      <c r="G196" s="2"/>
      <c r="H196" s="22"/>
      <c r="L196" s="2"/>
      <c r="M196" s="2"/>
      <c r="N196" s="2"/>
      <c r="O196" s="2"/>
      <c r="P196" s="2"/>
      <c r="Q196" s="22"/>
      <c r="R196" s="22"/>
      <c r="U196" s="71"/>
      <c r="V196" s="71"/>
      <c r="W196" s="22"/>
    </row>
    <row r="197" spans="5:23" x14ac:dyDescent="0.25">
      <c r="E197" s="2"/>
      <c r="F197" s="2"/>
      <c r="G197" s="2"/>
      <c r="H197" s="22"/>
      <c r="L197" s="2"/>
      <c r="M197" s="2"/>
      <c r="N197" s="2"/>
      <c r="O197" s="2"/>
      <c r="P197" s="2"/>
      <c r="Q197" s="22"/>
      <c r="R197" s="22"/>
      <c r="U197" s="71"/>
      <c r="V197" s="71"/>
      <c r="W197" s="22"/>
    </row>
    <row r="198" spans="5:23" x14ac:dyDescent="0.25">
      <c r="E198" s="2"/>
      <c r="F198" s="2"/>
      <c r="G198" s="2"/>
      <c r="H198" s="22"/>
      <c r="L198" s="2"/>
      <c r="M198" s="2"/>
      <c r="N198" s="2"/>
      <c r="O198" s="2"/>
      <c r="P198" s="2"/>
      <c r="Q198" s="22"/>
      <c r="R198" s="22"/>
      <c r="U198" s="71"/>
      <c r="V198" s="71"/>
      <c r="W198" s="22"/>
    </row>
    <row r="199" spans="5:23" x14ac:dyDescent="0.25">
      <c r="E199" s="2"/>
      <c r="F199" s="2"/>
      <c r="G199" s="2"/>
      <c r="H199" s="22"/>
      <c r="L199" s="2"/>
      <c r="M199" s="2"/>
      <c r="N199" s="2"/>
      <c r="O199" s="2"/>
      <c r="P199" s="2"/>
      <c r="Q199" s="22"/>
      <c r="R199" s="22"/>
      <c r="U199" s="71"/>
      <c r="V199" s="71"/>
      <c r="W199" s="22"/>
    </row>
    <row r="200" spans="5:23" x14ac:dyDescent="0.25">
      <c r="E200" s="2"/>
      <c r="F200" s="2"/>
      <c r="G200" s="2"/>
      <c r="H200" s="22"/>
      <c r="L200" s="2"/>
      <c r="M200" s="2"/>
      <c r="N200" s="2"/>
      <c r="O200" s="2"/>
      <c r="P200" s="2"/>
      <c r="Q200" s="22"/>
      <c r="R200" s="22"/>
      <c r="U200" s="71"/>
      <c r="V200" s="71"/>
      <c r="W200" s="22"/>
    </row>
    <row r="201" spans="5:23" x14ac:dyDescent="0.25">
      <c r="E201" s="2"/>
      <c r="F201" s="2"/>
      <c r="G201" s="2"/>
      <c r="H201" s="22"/>
      <c r="L201" s="2"/>
      <c r="M201" s="2"/>
      <c r="N201" s="2"/>
      <c r="O201" s="2"/>
      <c r="P201" s="2"/>
      <c r="Q201" s="22"/>
      <c r="R201" s="22"/>
      <c r="U201" s="71"/>
      <c r="V201" s="71"/>
      <c r="W201" s="22"/>
    </row>
    <row r="202" spans="5:23" x14ac:dyDescent="0.25">
      <c r="E202" s="2"/>
      <c r="F202" s="2"/>
      <c r="G202" s="2"/>
      <c r="H202" s="22"/>
      <c r="L202" s="2"/>
      <c r="M202" s="2"/>
      <c r="N202" s="2"/>
      <c r="O202" s="2"/>
      <c r="P202" s="2"/>
      <c r="Q202" s="22"/>
      <c r="R202" s="22"/>
      <c r="U202" s="71"/>
      <c r="V202" s="71"/>
      <c r="W202" s="22"/>
    </row>
    <row r="203" spans="5:23" x14ac:dyDescent="0.25">
      <c r="E203" s="2"/>
      <c r="F203" s="2"/>
      <c r="G203" s="2"/>
      <c r="H203" s="22"/>
      <c r="L203" s="2"/>
      <c r="M203" s="2"/>
      <c r="N203" s="2"/>
      <c r="O203" s="2"/>
      <c r="P203" s="2"/>
      <c r="Q203" s="22"/>
      <c r="R203" s="22"/>
      <c r="U203" s="71"/>
      <c r="V203" s="71"/>
      <c r="W203" s="22"/>
    </row>
    <row r="204" spans="5:23" x14ac:dyDescent="0.25">
      <c r="E204" s="2"/>
      <c r="F204" s="2"/>
      <c r="G204" s="2"/>
      <c r="H204" s="22"/>
      <c r="L204" s="2"/>
      <c r="M204" s="2"/>
      <c r="N204" s="2"/>
      <c r="O204" s="2"/>
      <c r="P204" s="2"/>
      <c r="Q204" s="22"/>
      <c r="R204" s="22"/>
      <c r="U204" s="71"/>
      <c r="V204" s="71"/>
      <c r="W204" s="22"/>
    </row>
    <row r="205" spans="5:23" x14ac:dyDescent="0.25">
      <c r="E205" s="2"/>
      <c r="F205" s="2"/>
      <c r="G205" s="2"/>
      <c r="H205" s="22"/>
      <c r="L205" s="2"/>
      <c r="M205" s="2"/>
      <c r="N205" s="2"/>
      <c r="O205" s="2"/>
      <c r="P205" s="2"/>
      <c r="Q205" s="22"/>
      <c r="R205" s="22"/>
      <c r="U205" s="71"/>
      <c r="V205" s="71"/>
      <c r="W205" s="22"/>
    </row>
    <row r="206" spans="5:23" x14ac:dyDescent="0.25">
      <c r="E206" s="2"/>
      <c r="F206" s="2"/>
      <c r="G206" s="2"/>
      <c r="H206" s="22"/>
      <c r="L206" s="2"/>
      <c r="M206" s="2"/>
      <c r="N206" s="2"/>
      <c r="O206" s="2"/>
      <c r="P206" s="2"/>
      <c r="Q206" s="22"/>
      <c r="R206" s="22"/>
      <c r="U206" s="71"/>
      <c r="V206" s="71"/>
      <c r="W206" s="22"/>
    </row>
    <row r="207" spans="5:23" x14ac:dyDescent="0.25">
      <c r="E207" s="2"/>
      <c r="F207" s="2"/>
      <c r="G207" s="2"/>
      <c r="H207" s="22"/>
      <c r="L207" s="2"/>
      <c r="M207" s="2"/>
      <c r="N207" s="2"/>
      <c r="O207" s="2"/>
      <c r="P207" s="2"/>
      <c r="Q207" s="22"/>
      <c r="R207" s="22"/>
      <c r="U207" s="71"/>
      <c r="V207" s="71"/>
      <c r="W207" s="22"/>
    </row>
    <row r="208" spans="5:23" x14ac:dyDescent="0.25">
      <c r="E208" s="2"/>
      <c r="F208" s="2"/>
      <c r="G208" s="2"/>
      <c r="H208" s="22"/>
      <c r="L208" s="2"/>
      <c r="M208" s="2"/>
      <c r="N208" s="2"/>
      <c r="O208" s="2"/>
      <c r="P208" s="2"/>
      <c r="Q208" s="22"/>
      <c r="R208" s="22"/>
      <c r="U208" s="71"/>
      <c r="V208" s="71"/>
      <c r="W208" s="22"/>
    </row>
    <row r="209" spans="5:23" x14ac:dyDescent="0.25">
      <c r="E209" s="2"/>
      <c r="F209" s="2"/>
      <c r="G209" s="2"/>
      <c r="H209" s="22"/>
      <c r="L209" s="2"/>
      <c r="M209" s="2"/>
      <c r="N209" s="2"/>
      <c r="O209" s="2"/>
      <c r="P209" s="2"/>
      <c r="Q209" s="22"/>
      <c r="R209" s="22"/>
      <c r="U209" s="71"/>
      <c r="V209" s="71"/>
      <c r="W209" s="22"/>
    </row>
    <row r="210" spans="5:23" x14ac:dyDescent="0.25">
      <c r="E210" s="2"/>
      <c r="F210" s="2"/>
      <c r="G210" s="2"/>
      <c r="H210" s="22"/>
      <c r="L210" s="2"/>
      <c r="M210" s="2"/>
      <c r="N210" s="2"/>
      <c r="O210" s="2"/>
      <c r="P210" s="2"/>
      <c r="Q210" s="22"/>
      <c r="R210" s="22"/>
      <c r="U210" s="71"/>
      <c r="V210" s="71"/>
      <c r="W210" s="22"/>
    </row>
    <row r="211" spans="5:23" x14ac:dyDescent="0.25">
      <c r="E211" s="2"/>
      <c r="F211" s="2"/>
      <c r="G211" s="2"/>
      <c r="H211" s="22"/>
      <c r="L211" s="2"/>
      <c r="M211" s="2"/>
      <c r="N211" s="2"/>
      <c r="O211" s="2"/>
      <c r="P211" s="2"/>
      <c r="Q211" s="22"/>
      <c r="R211" s="22"/>
      <c r="U211" s="71"/>
      <c r="V211" s="71"/>
      <c r="W211" s="22"/>
    </row>
    <row r="212" spans="5:23" x14ac:dyDescent="0.25">
      <c r="E212" s="2"/>
      <c r="F212" s="2"/>
      <c r="G212" s="2"/>
      <c r="H212" s="22"/>
      <c r="L212" s="2"/>
      <c r="M212" s="2"/>
      <c r="N212" s="2"/>
      <c r="O212" s="2"/>
      <c r="P212" s="2"/>
      <c r="Q212" s="22"/>
      <c r="R212" s="22"/>
      <c r="U212" s="71"/>
      <c r="V212" s="71"/>
      <c r="W212" s="22"/>
    </row>
    <row r="213" spans="5:23" x14ac:dyDescent="0.25">
      <c r="E213" s="2"/>
      <c r="F213" s="2"/>
      <c r="G213" s="2"/>
      <c r="H213" s="22"/>
      <c r="L213" s="2"/>
      <c r="M213" s="2"/>
      <c r="N213" s="2"/>
      <c r="O213" s="2"/>
      <c r="P213" s="2"/>
      <c r="Q213" s="22"/>
      <c r="R213" s="22"/>
      <c r="U213" s="71"/>
      <c r="V213" s="71"/>
      <c r="W213" s="22"/>
    </row>
    <row r="214" spans="5:23" x14ac:dyDescent="0.25">
      <c r="E214" s="2"/>
      <c r="F214" s="2"/>
      <c r="G214" s="2"/>
      <c r="H214" s="22"/>
      <c r="L214" s="2"/>
      <c r="M214" s="2"/>
      <c r="N214" s="2"/>
      <c r="O214" s="2"/>
      <c r="P214" s="2"/>
      <c r="Q214" s="22"/>
      <c r="R214" s="22"/>
      <c r="U214" s="71"/>
      <c r="V214" s="71"/>
      <c r="W214" s="22"/>
    </row>
    <row r="215" spans="5:23" x14ac:dyDescent="0.25">
      <c r="E215" s="2"/>
      <c r="F215" s="2"/>
      <c r="G215" s="2"/>
      <c r="H215" s="22"/>
      <c r="L215" s="2"/>
      <c r="M215" s="2"/>
      <c r="N215" s="2"/>
      <c r="O215" s="2"/>
      <c r="P215" s="2"/>
      <c r="Q215" s="22"/>
      <c r="R215" s="22"/>
      <c r="U215" s="71"/>
      <c r="V215" s="71"/>
      <c r="W215" s="22"/>
    </row>
    <row r="216" spans="5:23" x14ac:dyDescent="0.25">
      <c r="E216" s="2"/>
      <c r="F216" s="2"/>
      <c r="G216" s="2"/>
      <c r="H216" s="22"/>
      <c r="L216" s="2"/>
      <c r="M216" s="2"/>
      <c r="N216" s="2"/>
      <c r="O216" s="2"/>
      <c r="P216" s="2"/>
      <c r="Q216" s="22"/>
      <c r="R216" s="22"/>
      <c r="U216" s="71"/>
      <c r="V216" s="71"/>
      <c r="W216" s="22"/>
    </row>
    <row r="217" spans="5:23" x14ac:dyDescent="0.25">
      <c r="E217" s="2"/>
      <c r="F217" s="2"/>
      <c r="G217" s="2"/>
      <c r="H217" s="22"/>
      <c r="L217" s="2"/>
      <c r="M217" s="2"/>
      <c r="N217" s="2"/>
      <c r="O217" s="2"/>
      <c r="P217" s="2"/>
      <c r="Q217" s="22"/>
      <c r="R217" s="22"/>
      <c r="U217" s="71"/>
      <c r="V217" s="71"/>
      <c r="W217" s="22"/>
    </row>
    <row r="218" spans="5:23" x14ac:dyDescent="0.25">
      <c r="E218" s="2"/>
      <c r="F218" s="2"/>
      <c r="G218" s="2"/>
      <c r="H218" s="22"/>
      <c r="L218" s="2"/>
      <c r="M218" s="2"/>
      <c r="N218" s="2"/>
      <c r="O218" s="2"/>
      <c r="P218" s="2"/>
      <c r="Q218" s="22"/>
      <c r="R218" s="22"/>
      <c r="U218" s="71"/>
      <c r="V218" s="71"/>
      <c r="W218" s="22"/>
    </row>
    <row r="219" spans="5:23" x14ac:dyDescent="0.25">
      <c r="E219" s="2"/>
      <c r="F219" s="2"/>
      <c r="G219" s="2"/>
      <c r="H219" s="22"/>
      <c r="L219" s="2"/>
      <c r="M219" s="2"/>
      <c r="N219" s="2"/>
      <c r="O219" s="2"/>
      <c r="P219" s="2"/>
      <c r="Q219" s="22"/>
      <c r="R219" s="22"/>
      <c r="U219" s="71"/>
      <c r="V219" s="71"/>
      <c r="W219" s="22"/>
    </row>
    <row r="220" spans="5:23" x14ac:dyDescent="0.25">
      <c r="E220" s="2"/>
      <c r="F220" s="2"/>
      <c r="G220" s="2"/>
      <c r="H220" s="22"/>
      <c r="L220" s="2"/>
      <c r="M220" s="2"/>
      <c r="N220" s="2"/>
      <c r="O220" s="2"/>
      <c r="P220" s="2"/>
      <c r="Q220" s="22"/>
      <c r="R220" s="22"/>
      <c r="U220" s="71"/>
      <c r="V220" s="71"/>
      <c r="W220" s="22"/>
    </row>
    <row r="221" spans="5:23" x14ac:dyDescent="0.25">
      <c r="E221" s="2"/>
      <c r="F221" s="2"/>
      <c r="G221" s="2"/>
      <c r="H221" s="22"/>
      <c r="L221" s="2"/>
      <c r="M221" s="2"/>
      <c r="N221" s="2"/>
      <c r="O221" s="2"/>
      <c r="P221" s="2"/>
      <c r="Q221" s="22"/>
      <c r="R221" s="22"/>
      <c r="U221" s="71"/>
      <c r="V221" s="71"/>
      <c r="W221" s="22"/>
    </row>
    <row r="222" spans="5:23" x14ac:dyDescent="0.25">
      <c r="E222" s="2"/>
      <c r="F222" s="2"/>
      <c r="G222" s="2"/>
      <c r="H222" s="22"/>
      <c r="L222" s="2"/>
      <c r="M222" s="2"/>
      <c r="N222" s="2"/>
      <c r="O222" s="2"/>
      <c r="P222" s="2"/>
      <c r="Q222" s="22"/>
      <c r="R222" s="22"/>
      <c r="U222" s="71"/>
      <c r="V222" s="71"/>
      <c r="W222" s="22"/>
    </row>
    <row r="223" spans="5:23" x14ac:dyDescent="0.25">
      <c r="E223" s="2"/>
      <c r="F223" s="2"/>
      <c r="G223" s="2"/>
      <c r="H223" s="22"/>
      <c r="L223" s="2"/>
      <c r="M223" s="2"/>
      <c r="N223" s="2"/>
      <c r="O223" s="2"/>
      <c r="P223" s="2"/>
      <c r="Q223" s="22"/>
      <c r="R223" s="22"/>
      <c r="U223" s="71"/>
      <c r="V223" s="71"/>
      <c r="W223" s="22"/>
    </row>
    <row r="224" spans="5:23" x14ac:dyDescent="0.25">
      <c r="E224" s="2"/>
      <c r="F224" s="2"/>
      <c r="G224" s="2"/>
      <c r="H224" s="22"/>
      <c r="L224" s="2"/>
      <c r="M224" s="2"/>
      <c r="N224" s="2"/>
      <c r="O224" s="2"/>
      <c r="P224" s="2"/>
      <c r="Q224" s="22"/>
      <c r="R224" s="22"/>
      <c r="U224" s="71"/>
      <c r="V224" s="71"/>
      <c r="W224" s="22"/>
    </row>
    <row r="225" spans="5:23" x14ac:dyDescent="0.25">
      <c r="E225" s="2"/>
      <c r="F225" s="2"/>
      <c r="G225" s="2"/>
      <c r="H225" s="22"/>
      <c r="L225" s="2"/>
      <c r="M225" s="2"/>
      <c r="N225" s="2"/>
      <c r="O225" s="2"/>
      <c r="P225" s="2"/>
      <c r="Q225" s="22"/>
      <c r="R225" s="22"/>
      <c r="U225" s="71"/>
      <c r="V225" s="71"/>
      <c r="W225" s="22"/>
    </row>
    <row r="226" spans="5:23" x14ac:dyDescent="0.25">
      <c r="E226" s="2"/>
      <c r="F226" s="2"/>
      <c r="G226" s="2"/>
      <c r="H226" s="22"/>
      <c r="L226" s="2"/>
      <c r="M226" s="2"/>
      <c r="N226" s="2"/>
      <c r="O226" s="2"/>
      <c r="P226" s="2"/>
      <c r="Q226" s="22"/>
      <c r="R226" s="22"/>
      <c r="U226" s="71"/>
      <c r="V226" s="71"/>
      <c r="W226" s="22"/>
    </row>
    <row r="227" spans="5:23" x14ac:dyDescent="0.25">
      <c r="E227" s="2"/>
      <c r="F227" s="2"/>
      <c r="G227" s="2"/>
      <c r="H227" s="22"/>
      <c r="L227" s="2"/>
      <c r="M227" s="2"/>
      <c r="N227" s="2"/>
      <c r="O227" s="2"/>
      <c r="P227" s="2"/>
      <c r="Q227" s="22"/>
      <c r="R227" s="22"/>
      <c r="U227" s="71"/>
      <c r="V227" s="71"/>
      <c r="W227" s="22"/>
    </row>
    <row r="228" spans="5:23" x14ac:dyDescent="0.25">
      <c r="E228" s="2"/>
      <c r="F228" s="2"/>
      <c r="G228" s="2"/>
      <c r="H228" s="22"/>
      <c r="L228" s="2"/>
      <c r="M228" s="2"/>
      <c r="N228" s="2"/>
      <c r="O228" s="2"/>
      <c r="P228" s="2"/>
      <c r="Q228" s="22"/>
      <c r="R228" s="22"/>
      <c r="U228" s="71"/>
      <c r="V228" s="71"/>
      <c r="W228" s="22"/>
    </row>
    <row r="229" spans="5:23" x14ac:dyDescent="0.25">
      <c r="E229" s="2"/>
      <c r="F229" s="2"/>
      <c r="G229" s="2"/>
      <c r="H229" s="22"/>
      <c r="L229" s="2"/>
      <c r="M229" s="2"/>
      <c r="N229" s="2"/>
      <c r="O229" s="2"/>
      <c r="P229" s="2"/>
      <c r="Q229" s="22"/>
      <c r="R229" s="22"/>
      <c r="U229" s="71"/>
      <c r="V229" s="71"/>
      <c r="W229" s="22"/>
    </row>
    <row r="230" spans="5:23" x14ac:dyDescent="0.25">
      <c r="E230" s="2"/>
      <c r="F230" s="2"/>
      <c r="G230" s="2"/>
      <c r="H230" s="22"/>
      <c r="L230" s="2"/>
      <c r="M230" s="2"/>
      <c r="N230" s="2"/>
      <c r="O230" s="2"/>
      <c r="P230" s="2"/>
      <c r="Q230" s="22"/>
      <c r="R230" s="22"/>
      <c r="U230" s="71"/>
      <c r="V230" s="71"/>
      <c r="W230" s="22"/>
    </row>
    <row r="231" spans="5:23" x14ac:dyDescent="0.25">
      <c r="E231" s="2"/>
      <c r="F231" s="2"/>
      <c r="G231" s="2"/>
      <c r="H231" s="22"/>
      <c r="L231" s="2"/>
      <c r="M231" s="2"/>
      <c r="N231" s="2"/>
      <c r="O231" s="2"/>
      <c r="P231" s="2"/>
      <c r="Q231" s="22"/>
      <c r="R231" s="22"/>
      <c r="U231" s="71"/>
      <c r="V231" s="71"/>
      <c r="W231" s="22"/>
    </row>
    <row r="232" spans="5:23" x14ac:dyDescent="0.25">
      <c r="E232" s="2"/>
      <c r="F232" s="2"/>
      <c r="G232" s="2"/>
      <c r="H232" s="22"/>
      <c r="L232" s="2"/>
      <c r="M232" s="2"/>
      <c r="N232" s="2"/>
      <c r="O232" s="2"/>
      <c r="P232" s="2"/>
      <c r="Q232" s="22"/>
      <c r="R232" s="22"/>
      <c r="U232" s="71"/>
      <c r="V232" s="71"/>
      <c r="W232" s="22"/>
    </row>
    <row r="233" spans="5:23" x14ac:dyDescent="0.25">
      <c r="E233" s="2"/>
      <c r="F233" s="2"/>
      <c r="G233" s="2"/>
      <c r="H233" s="22"/>
      <c r="L233" s="2"/>
      <c r="M233" s="2"/>
      <c r="N233" s="2"/>
      <c r="O233" s="2"/>
      <c r="P233" s="2"/>
      <c r="Q233" s="22"/>
      <c r="R233" s="22"/>
      <c r="U233" s="71"/>
      <c r="V233" s="71"/>
      <c r="W233" s="22"/>
    </row>
    <row r="234" spans="5:23" x14ac:dyDescent="0.25">
      <c r="E234" s="2"/>
      <c r="F234" s="2"/>
      <c r="G234" s="2"/>
      <c r="H234" s="22"/>
      <c r="L234" s="2"/>
      <c r="M234" s="2"/>
      <c r="N234" s="2"/>
      <c r="O234" s="2"/>
      <c r="P234" s="2"/>
      <c r="Q234" s="22"/>
      <c r="R234" s="22"/>
      <c r="U234" s="71"/>
      <c r="V234" s="71"/>
      <c r="W234" s="22"/>
    </row>
    <row r="235" spans="5:23" x14ac:dyDescent="0.25">
      <c r="E235" s="2"/>
      <c r="F235" s="2"/>
      <c r="G235" s="2"/>
      <c r="H235" s="22"/>
      <c r="L235" s="2"/>
      <c r="M235" s="2"/>
      <c r="N235" s="2"/>
      <c r="O235" s="2"/>
      <c r="P235" s="2"/>
      <c r="Q235" s="22"/>
      <c r="R235" s="22"/>
      <c r="U235" s="71"/>
      <c r="V235" s="71"/>
      <c r="W235" s="22"/>
    </row>
    <row r="236" spans="5:23" x14ac:dyDescent="0.25">
      <c r="E236" s="2"/>
      <c r="F236" s="2"/>
      <c r="G236" s="2"/>
      <c r="H236" s="22"/>
      <c r="L236" s="2"/>
      <c r="M236" s="2"/>
      <c r="N236" s="2"/>
      <c r="O236" s="2"/>
      <c r="P236" s="2"/>
      <c r="Q236" s="22"/>
      <c r="R236" s="22"/>
      <c r="U236" s="71"/>
      <c r="V236" s="71"/>
      <c r="W236" s="22"/>
    </row>
    <row r="237" spans="5:23" x14ac:dyDescent="0.25">
      <c r="E237" s="2"/>
      <c r="F237" s="2"/>
      <c r="G237" s="2"/>
      <c r="H237" s="22"/>
      <c r="L237" s="2"/>
      <c r="M237" s="2"/>
      <c r="N237" s="2"/>
      <c r="O237" s="2"/>
      <c r="P237" s="2"/>
      <c r="Q237" s="22"/>
      <c r="R237" s="22"/>
      <c r="U237" s="71"/>
      <c r="V237" s="71"/>
      <c r="W237" s="22"/>
    </row>
    <row r="238" spans="5:23" x14ac:dyDescent="0.25">
      <c r="E238" s="2"/>
      <c r="F238" s="2"/>
      <c r="G238" s="2"/>
      <c r="H238" s="22"/>
      <c r="L238" s="2"/>
      <c r="M238" s="2"/>
      <c r="N238" s="2"/>
      <c r="O238" s="2"/>
      <c r="P238" s="2"/>
      <c r="Q238" s="22"/>
      <c r="R238" s="22"/>
      <c r="U238" s="71"/>
      <c r="V238" s="71"/>
      <c r="W238" s="22"/>
    </row>
    <row r="239" spans="5:23" x14ac:dyDescent="0.25">
      <c r="E239" s="2"/>
      <c r="F239" s="2"/>
      <c r="G239" s="2"/>
      <c r="H239" s="22"/>
      <c r="L239" s="2"/>
      <c r="M239" s="2"/>
      <c r="N239" s="2"/>
      <c r="O239" s="2"/>
      <c r="P239" s="2"/>
      <c r="Q239" s="22"/>
      <c r="R239" s="22"/>
      <c r="U239" s="71"/>
      <c r="V239" s="71"/>
      <c r="W239" s="22"/>
    </row>
    <row r="240" spans="5:23" x14ac:dyDescent="0.25">
      <c r="E240" s="2"/>
      <c r="F240" s="2"/>
      <c r="G240" s="2"/>
      <c r="H240" s="22"/>
      <c r="L240" s="2"/>
      <c r="M240" s="2"/>
      <c r="N240" s="2"/>
      <c r="O240" s="2"/>
      <c r="P240" s="2"/>
      <c r="Q240" s="22"/>
      <c r="R240" s="22"/>
      <c r="U240" s="71"/>
      <c r="V240" s="71"/>
      <c r="W240" s="22"/>
    </row>
    <row r="241" spans="5:23" x14ac:dyDescent="0.25">
      <c r="E241" s="2"/>
      <c r="F241" s="2"/>
      <c r="G241" s="2"/>
      <c r="H241" s="22"/>
      <c r="L241" s="2"/>
      <c r="M241" s="2"/>
      <c r="N241" s="2"/>
      <c r="O241" s="2"/>
      <c r="P241" s="2"/>
      <c r="Q241" s="22"/>
      <c r="R241" s="22"/>
      <c r="U241" s="71"/>
      <c r="V241" s="71"/>
      <c r="W241" s="22"/>
    </row>
    <row r="242" spans="5:23" x14ac:dyDescent="0.25">
      <c r="E242" s="2"/>
      <c r="F242" s="2"/>
      <c r="G242" s="2"/>
      <c r="H242" s="22"/>
      <c r="L242" s="2"/>
      <c r="M242" s="2"/>
      <c r="N242" s="2"/>
      <c r="O242" s="2"/>
      <c r="P242" s="2"/>
      <c r="Q242" s="22"/>
      <c r="R242" s="22"/>
      <c r="U242" s="71"/>
      <c r="V242" s="71"/>
      <c r="W242" s="22"/>
    </row>
    <row r="243" spans="5:23" x14ac:dyDescent="0.25">
      <c r="E243" s="2"/>
      <c r="F243" s="2"/>
      <c r="G243" s="2"/>
      <c r="H243" s="22"/>
      <c r="L243" s="2"/>
      <c r="M243" s="2"/>
      <c r="N243" s="2"/>
      <c r="O243" s="2"/>
      <c r="P243" s="2"/>
      <c r="Q243" s="22"/>
      <c r="R243" s="22"/>
      <c r="U243" s="71"/>
      <c r="V243" s="71"/>
      <c r="W243" s="22"/>
    </row>
    <row r="244" spans="5:23" x14ac:dyDescent="0.25">
      <c r="E244" s="2"/>
      <c r="F244" s="2"/>
      <c r="G244" s="2"/>
      <c r="H244" s="22"/>
      <c r="L244" s="2"/>
      <c r="M244" s="2"/>
      <c r="N244" s="2"/>
      <c r="O244" s="2"/>
      <c r="P244" s="2"/>
      <c r="Q244" s="22"/>
      <c r="R244" s="22"/>
      <c r="U244" s="71"/>
      <c r="V244" s="71"/>
      <c r="W244" s="22"/>
    </row>
    <row r="245" spans="5:23" x14ac:dyDescent="0.25">
      <c r="E245" s="2"/>
      <c r="F245" s="2"/>
      <c r="G245" s="2"/>
      <c r="H245" s="22"/>
      <c r="L245" s="2"/>
      <c r="M245" s="2"/>
      <c r="N245" s="2"/>
      <c r="O245" s="2"/>
      <c r="P245" s="2"/>
      <c r="Q245" s="22"/>
      <c r="R245" s="22"/>
      <c r="U245" s="71"/>
      <c r="V245" s="71"/>
      <c r="W245" s="22"/>
    </row>
    <row r="246" spans="5:23" x14ac:dyDescent="0.25">
      <c r="E246" s="2"/>
      <c r="F246" s="2"/>
      <c r="G246" s="2"/>
      <c r="H246" s="22"/>
      <c r="L246" s="2"/>
      <c r="M246" s="2"/>
      <c r="N246" s="2"/>
      <c r="O246" s="2"/>
      <c r="P246" s="2"/>
      <c r="Q246" s="22"/>
      <c r="R246" s="22"/>
      <c r="U246" s="71"/>
      <c r="V246" s="71"/>
      <c r="W246" s="22"/>
    </row>
    <row r="247" spans="5:23" x14ac:dyDescent="0.25">
      <c r="E247" s="2"/>
      <c r="F247" s="2"/>
      <c r="G247" s="2"/>
      <c r="H247" s="22"/>
      <c r="L247" s="2"/>
      <c r="M247" s="2"/>
      <c r="N247" s="2"/>
      <c r="O247" s="2"/>
      <c r="P247" s="2"/>
      <c r="Q247" s="22"/>
      <c r="R247" s="22"/>
      <c r="U247" s="71"/>
      <c r="V247" s="71"/>
      <c r="W247" s="22"/>
    </row>
    <row r="248" spans="5:23" x14ac:dyDescent="0.25">
      <c r="E248" s="2"/>
      <c r="F248" s="2"/>
      <c r="G248" s="2"/>
      <c r="H248" s="22"/>
      <c r="L248" s="2"/>
      <c r="M248" s="2"/>
      <c r="N248" s="2"/>
      <c r="O248" s="2"/>
      <c r="P248" s="2"/>
      <c r="Q248" s="22"/>
      <c r="R248" s="22"/>
      <c r="U248" s="71"/>
      <c r="V248" s="71"/>
      <c r="W248" s="22"/>
    </row>
    <row r="249" spans="5:23" x14ac:dyDescent="0.25">
      <c r="E249" s="2"/>
      <c r="F249" s="2"/>
      <c r="G249" s="2"/>
      <c r="H249" s="22"/>
      <c r="L249" s="2"/>
      <c r="M249" s="2"/>
      <c r="N249" s="2"/>
      <c r="O249" s="2"/>
      <c r="P249" s="2"/>
      <c r="Q249" s="22"/>
      <c r="R249" s="22"/>
      <c r="U249" s="71"/>
      <c r="V249" s="71"/>
      <c r="W249" s="22"/>
    </row>
    <row r="250" spans="5:23" x14ac:dyDescent="0.25">
      <c r="E250" s="2"/>
      <c r="F250" s="2"/>
      <c r="G250" s="2"/>
      <c r="H250" s="22"/>
      <c r="L250" s="2"/>
      <c r="M250" s="2"/>
      <c r="N250" s="2"/>
      <c r="O250" s="2"/>
      <c r="P250" s="2"/>
      <c r="Q250" s="22"/>
      <c r="R250" s="22"/>
      <c r="U250" s="71"/>
      <c r="V250" s="71"/>
      <c r="W250" s="22"/>
    </row>
    <row r="251" spans="5:23" x14ac:dyDescent="0.25">
      <c r="E251" s="2"/>
      <c r="F251" s="2"/>
      <c r="G251" s="2"/>
      <c r="H251" s="22"/>
      <c r="L251" s="2"/>
      <c r="M251" s="2"/>
      <c r="N251" s="2"/>
      <c r="O251" s="2"/>
      <c r="P251" s="2"/>
      <c r="Q251" s="22"/>
      <c r="R251" s="22"/>
      <c r="U251" s="71"/>
      <c r="V251" s="71"/>
      <c r="W251" s="22"/>
    </row>
    <row r="252" spans="5:23" x14ac:dyDescent="0.25">
      <c r="E252" s="2"/>
      <c r="F252" s="2"/>
      <c r="G252" s="2"/>
      <c r="H252" s="22"/>
      <c r="L252" s="2"/>
      <c r="M252" s="2"/>
      <c r="N252" s="2"/>
      <c r="O252" s="2"/>
      <c r="P252" s="2"/>
      <c r="Q252" s="22"/>
      <c r="R252" s="22"/>
      <c r="U252" s="71"/>
      <c r="V252" s="71"/>
      <c r="W252" s="22"/>
    </row>
    <row r="253" spans="5:23" x14ac:dyDescent="0.25">
      <c r="E253" s="2"/>
      <c r="F253" s="2"/>
      <c r="G253" s="2"/>
      <c r="H253" s="22"/>
      <c r="L253" s="2"/>
      <c r="M253" s="2"/>
      <c r="N253" s="2"/>
      <c r="O253" s="2"/>
      <c r="P253" s="2"/>
      <c r="Q253" s="22"/>
      <c r="R253" s="22"/>
      <c r="U253" s="71"/>
      <c r="V253" s="71"/>
      <c r="W253" s="22"/>
    </row>
    <row r="254" spans="5:23" x14ac:dyDescent="0.25">
      <c r="E254" s="2"/>
      <c r="F254" s="2"/>
      <c r="G254" s="2"/>
      <c r="H254" s="22"/>
      <c r="L254" s="2"/>
      <c r="M254" s="2"/>
      <c r="N254" s="2"/>
      <c r="O254" s="2"/>
      <c r="P254" s="2"/>
      <c r="Q254" s="22"/>
      <c r="R254" s="22"/>
      <c r="U254" s="71"/>
      <c r="V254" s="71"/>
      <c r="W254" s="22"/>
    </row>
    <row r="255" spans="5:23" x14ac:dyDescent="0.25">
      <c r="E255" s="2"/>
      <c r="F255" s="2"/>
      <c r="G255" s="2"/>
      <c r="H255" s="22"/>
      <c r="L255" s="2"/>
      <c r="M255" s="2"/>
      <c r="N255" s="2"/>
      <c r="O255" s="2"/>
      <c r="P255" s="2"/>
      <c r="Q255" s="22"/>
      <c r="R255" s="22"/>
      <c r="U255" s="71"/>
      <c r="V255" s="71"/>
      <c r="W255" s="22"/>
    </row>
    <row r="256" spans="5:23" x14ac:dyDescent="0.25">
      <c r="E256" s="2"/>
      <c r="F256" s="2"/>
      <c r="G256" s="2"/>
      <c r="H256" s="22"/>
      <c r="L256" s="2"/>
      <c r="M256" s="2"/>
      <c r="N256" s="2"/>
      <c r="O256" s="2"/>
      <c r="P256" s="2"/>
      <c r="Q256" s="22"/>
      <c r="R256" s="22"/>
      <c r="U256" s="71"/>
      <c r="V256" s="71"/>
      <c r="W256" s="22"/>
    </row>
    <row r="257" spans="5:23" x14ac:dyDescent="0.25">
      <c r="E257" s="2"/>
      <c r="F257" s="2"/>
      <c r="G257" s="2"/>
      <c r="H257" s="22"/>
      <c r="L257" s="2"/>
      <c r="M257" s="2"/>
      <c r="N257" s="2"/>
      <c r="O257" s="2"/>
      <c r="P257" s="2"/>
      <c r="Q257" s="22"/>
      <c r="R257" s="22"/>
      <c r="U257" s="71"/>
      <c r="V257" s="71"/>
      <c r="W257" s="22"/>
    </row>
    <row r="258" spans="5:23" x14ac:dyDescent="0.25">
      <c r="E258" s="2"/>
      <c r="F258" s="2"/>
      <c r="G258" s="2"/>
      <c r="H258" s="22"/>
      <c r="L258" s="2"/>
      <c r="M258" s="2"/>
      <c r="N258" s="2"/>
      <c r="O258" s="2"/>
      <c r="P258" s="2"/>
      <c r="Q258" s="22"/>
      <c r="R258" s="22"/>
      <c r="U258" s="71"/>
      <c r="V258" s="71"/>
      <c r="W258" s="22"/>
    </row>
    <row r="259" spans="5:23" x14ac:dyDescent="0.25">
      <c r="E259" s="2"/>
      <c r="F259" s="2"/>
      <c r="G259" s="2"/>
      <c r="H259" s="22"/>
      <c r="L259" s="2"/>
      <c r="M259" s="2"/>
      <c r="N259" s="2"/>
      <c r="O259" s="2"/>
      <c r="P259" s="2"/>
      <c r="Q259" s="22"/>
      <c r="R259" s="22"/>
      <c r="U259" s="71"/>
      <c r="V259" s="71"/>
      <c r="W259" s="22"/>
    </row>
    <row r="260" spans="5:23" x14ac:dyDescent="0.25">
      <c r="E260" s="2"/>
      <c r="F260" s="2"/>
      <c r="G260" s="2"/>
      <c r="H260" s="22"/>
      <c r="L260" s="2"/>
      <c r="M260" s="2"/>
      <c r="N260" s="2"/>
      <c r="O260" s="2"/>
      <c r="P260" s="2"/>
      <c r="Q260" s="22"/>
      <c r="R260" s="22"/>
      <c r="U260" s="71"/>
      <c r="V260" s="71"/>
      <c r="W260" s="22"/>
    </row>
    <row r="261" spans="5:23" x14ac:dyDescent="0.25">
      <c r="E261" s="2"/>
      <c r="F261" s="2"/>
      <c r="G261" s="2"/>
      <c r="H261" s="22"/>
      <c r="L261" s="2"/>
      <c r="M261" s="2"/>
      <c r="N261" s="2"/>
      <c r="O261" s="2"/>
      <c r="P261" s="2"/>
      <c r="Q261" s="22"/>
      <c r="R261" s="22"/>
      <c r="U261" s="71"/>
      <c r="V261" s="71"/>
      <c r="W261" s="22"/>
    </row>
    <row r="262" spans="5:23" x14ac:dyDescent="0.25">
      <c r="E262" s="2"/>
      <c r="F262" s="2"/>
      <c r="G262" s="2"/>
      <c r="H262" s="22"/>
      <c r="L262" s="2"/>
      <c r="M262" s="2"/>
      <c r="N262" s="2"/>
      <c r="O262" s="2"/>
      <c r="P262" s="2"/>
      <c r="Q262" s="22"/>
      <c r="R262" s="22"/>
      <c r="U262" s="71"/>
      <c r="V262" s="71"/>
      <c r="W262" s="22"/>
    </row>
    <row r="263" spans="5:23" x14ac:dyDescent="0.25">
      <c r="E263" s="2"/>
      <c r="F263" s="2"/>
      <c r="G263" s="2"/>
      <c r="H263" s="22"/>
      <c r="L263" s="2"/>
      <c r="M263" s="2"/>
      <c r="N263" s="2"/>
      <c r="O263" s="2"/>
      <c r="P263" s="2"/>
      <c r="Q263" s="22"/>
      <c r="R263" s="22"/>
      <c r="U263" s="71"/>
      <c r="V263" s="71"/>
      <c r="W263" s="22"/>
    </row>
    <row r="264" spans="5:23" x14ac:dyDescent="0.25">
      <c r="E264" s="2"/>
      <c r="F264" s="2"/>
      <c r="G264" s="2"/>
      <c r="H264" s="22"/>
      <c r="L264" s="2"/>
      <c r="M264" s="2"/>
      <c r="N264" s="2"/>
      <c r="O264" s="2"/>
      <c r="P264" s="2"/>
      <c r="Q264" s="22"/>
      <c r="R264" s="22"/>
      <c r="U264" s="71"/>
      <c r="V264" s="71"/>
      <c r="W264" s="22"/>
    </row>
    <row r="265" spans="5:23" x14ac:dyDescent="0.25">
      <c r="E265" s="2"/>
      <c r="F265" s="2"/>
      <c r="G265" s="2"/>
      <c r="H265" s="22"/>
      <c r="L265" s="2"/>
      <c r="M265" s="2"/>
      <c r="N265" s="2"/>
      <c r="O265" s="2"/>
      <c r="P265" s="2"/>
      <c r="Q265" s="22"/>
      <c r="R265" s="22"/>
      <c r="U265" s="71"/>
      <c r="V265" s="71"/>
      <c r="W265" s="22"/>
    </row>
    <row r="266" spans="5:23" x14ac:dyDescent="0.25">
      <c r="E266" s="2"/>
      <c r="F266" s="2"/>
      <c r="G266" s="2"/>
      <c r="H266" s="22"/>
      <c r="L266" s="2"/>
      <c r="M266" s="2"/>
      <c r="N266" s="2"/>
      <c r="O266" s="2"/>
      <c r="P266" s="2"/>
      <c r="Q266" s="22"/>
      <c r="R266" s="22"/>
      <c r="U266" s="71"/>
      <c r="V266" s="71"/>
      <c r="W266" s="22"/>
    </row>
    <row r="267" spans="5:23" x14ac:dyDescent="0.25">
      <c r="E267" s="2"/>
      <c r="F267" s="2"/>
      <c r="G267" s="2"/>
      <c r="H267" s="22"/>
      <c r="L267" s="2"/>
      <c r="M267" s="2"/>
      <c r="N267" s="2"/>
      <c r="O267" s="2"/>
      <c r="P267" s="2"/>
      <c r="Q267" s="22"/>
      <c r="R267" s="22"/>
      <c r="U267" s="71"/>
      <c r="V267" s="71"/>
      <c r="W267" s="22"/>
    </row>
    <row r="268" spans="5:23" x14ac:dyDescent="0.25">
      <c r="E268" s="2"/>
      <c r="F268" s="2"/>
      <c r="G268" s="2"/>
      <c r="H268" s="22"/>
      <c r="L268" s="2"/>
      <c r="M268" s="2"/>
      <c r="N268" s="2"/>
      <c r="O268" s="2"/>
      <c r="P268" s="2"/>
      <c r="Q268" s="22"/>
      <c r="R268" s="22"/>
      <c r="U268" s="71"/>
      <c r="V268" s="71"/>
      <c r="W268" s="22"/>
    </row>
    <row r="269" spans="5:23" x14ac:dyDescent="0.25">
      <c r="E269" s="2"/>
      <c r="F269" s="2"/>
      <c r="G269" s="2"/>
      <c r="H269" s="22"/>
      <c r="L269" s="2"/>
      <c r="M269" s="2"/>
      <c r="N269" s="2"/>
      <c r="O269" s="2"/>
      <c r="P269" s="2"/>
      <c r="Q269" s="22"/>
      <c r="R269" s="22"/>
      <c r="U269" s="71"/>
      <c r="V269" s="71"/>
      <c r="W269" s="22"/>
    </row>
    <row r="270" spans="5:23" x14ac:dyDescent="0.25">
      <c r="E270" s="2"/>
      <c r="F270" s="2"/>
      <c r="G270" s="2"/>
      <c r="H270" s="22"/>
      <c r="L270" s="2"/>
      <c r="M270" s="2"/>
      <c r="N270" s="2"/>
      <c r="O270" s="2"/>
      <c r="P270" s="2"/>
      <c r="Q270" s="22"/>
      <c r="R270" s="22"/>
      <c r="U270" s="71"/>
      <c r="V270" s="71"/>
      <c r="W270" s="22"/>
    </row>
    <row r="271" spans="5:23" x14ac:dyDescent="0.25">
      <c r="E271" s="2"/>
      <c r="F271" s="2"/>
      <c r="G271" s="2"/>
      <c r="H271" s="22"/>
      <c r="L271" s="2"/>
      <c r="M271" s="2"/>
      <c r="N271" s="2"/>
      <c r="O271" s="2"/>
      <c r="P271" s="2"/>
      <c r="Q271" s="22"/>
      <c r="R271" s="22"/>
      <c r="U271" s="71"/>
      <c r="V271" s="71"/>
      <c r="W271" s="22"/>
    </row>
    <row r="272" spans="5:23" x14ac:dyDescent="0.25">
      <c r="E272" s="2"/>
      <c r="F272" s="2"/>
      <c r="G272" s="2"/>
      <c r="H272" s="22"/>
      <c r="L272" s="2"/>
      <c r="M272" s="2"/>
      <c r="N272" s="2"/>
      <c r="O272" s="2"/>
      <c r="P272" s="2"/>
      <c r="Q272" s="22"/>
      <c r="R272" s="22"/>
      <c r="U272" s="71"/>
      <c r="V272" s="71"/>
      <c r="W272" s="22"/>
    </row>
    <row r="273" spans="5:23" x14ac:dyDescent="0.25">
      <c r="E273" s="2"/>
      <c r="F273" s="2"/>
      <c r="G273" s="2"/>
      <c r="H273" s="22"/>
      <c r="L273" s="2"/>
      <c r="M273" s="2"/>
      <c r="N273" s="2"/>
      <c r="O273" s="2"/>
      <c r="P273" s="2"/>
      <c r="Q273" s="22"/>
      <c r="R273" s="22"/>
      <c r="U273" s="71"/>
      <c r="V273" s="71"/>
      <c r="W273" s="22"/>
    </row>
    <row r="274" spans="5:23" x14ac:dyDescent="0.25">
      <c r="E274" s="2"/>
      <c r="F274" s="2"/>
      <c r="G274" s="2"/>
      <c r="H274" s="22"/>
      <c r="L274" s="2"/>
      <c r="M274" s="2"/>
      <c r="N274" s="2"/>
      <c r="O274" s="2"/>
      <c r="P274" s="2"/>
      <c r="Q274" s="22"/>
      <c r="R274" s="22"/>
      <c r="U274" s="71"/>
      <c r="V274" s="71"/>
      <c r="W274" s="22"/>
    </row>
    <row r="275" spans="5:23" x14ac:dyDescent="0.25">
      <c r="E275" s="2"/>
      <c r="F275" s="2"/>
      <c r="G275" s="2"/>
      <c r="H275" s="22"/>
      <c r="L275" s="2"/>
      <c r="M275" s="2"/>
      <c r="N275" s="2"/>
      <c r="O275" s="2"/>
      <c r="P275" s="2"/>
      <c r="Q275" s="22"/>
      <c r="R275" s="22"/>
      <c r="U275" s="71"/>
      <c r="V275" s="71"/>
      <c r="W275" s="22"/>
    </row>
    <row r="276" spans="5:23" x14ac:dyDescent="0.25">
      <c r="E276" s="2"/>
      <c r="F276" s="2"/>
      <c r="G276" s="2"/>
      <c r="H276" s="22"/>
      <c r="L276" s="2"/>
      <c r="M276" s="2"/>
      <c r="N276" s="2"/>
      <c r="O276" s="2"/>
      <c r="P276" s="2"/>
      <c r="Q276" s="22"/>
      <c r="R276" s="22"/>
      <c r="U276" s="71"/>
      <c r="V276" s="71"/>
      <c r="W276" s="22"/>
    </row>
    <row r="277" spans="5:23" x14ac:dyDescent="0.25">
      <c r="E277" s="2"/>
      <c r="F277" s="2"/>
      <c r="G277" s="2"/>
      <c r="H277" s="22"/>
      <c r="L277" s="2"/>
      <c r="M277" s="2"/>
      <c r="N277" s="2"/>
      <c r="O277" s="2"/>
      <c r="P277" s="2"/>
      <c r="Q277" s="22"/>
      <c r="R277" s="22"/>
      <c r="U277" s="71"/>
      <c r="V277" s="71"/>
      <c r="W277" s="22"/>
    </row>
    <row r="278" spans="5:23" x14ac:dyDescent="0.25">
      <c r="E278" s="2"/>
      <c r="F278" s="2"/>
      <c r="G278" s="2"/>
      <c r="H278" s="22"/>
      <c r="L278" s="2"/>
      <c r="M278" s="2"/>
      <c r="N278" s="2"/>
      <c r="O278" s="2"/>
      <c r="P278" s="2"/>
      <c r="Q278" s="22"/>
      <c r="R278" s="22"/>
      <c r="U278" s="71"/>
      <c r="V278" s="71"/>
      <c r="W278" s="22"/>
    </row>
    <row r="279" spans="5:23" x14ac:dyDescent="0.25">
      <c r="E279" s="2"/>
      <c r="F279" s="2"/>
      <c r="G279" s="2"/>
      <c r="H279" s="22"/>
      <c r="L279" s="2"/>
      <c r="M279" s="2"/>
      <c r="N279" s="2"/>
      <c r="O279" s="2"/>
      <c r="P279" s="2"/>
      <c r="Q279" s="22"/>
      <c r="R279" s="22"/>
      <c r="U279" s="71"/>
      <c r="V279" s="71"/>
      <c r="W279" s="22"/>
    </row>
    <row r="280" spans="5:23" x14ac:dyDescent="0.25">
      <c r="E280" s="2"/>
      <c r="F280" s="2"/>
      <c r="G280" s="2"/>
      <c r="H280" s="22"/>
      <c r="L280" s="2"/>
      <c r="M280" s="2"/>
      <c r="N280" s="2"/>
      <c r="O280" s="2"/>
      <c r="P280" s="2"/>
      <c r="Q280" s="22"/>
      <c r="R280" s="22"/>
      <c r="U280" s="71"/>
      <c r="V280" s="71"/>
      <c r="W280" s="22"/>
    </row>
    <row r="281" spans="5:23" x14ac:dyDescent="0.25">
      <c r="E281" s="2"/>
      <c r="F281" s="2"/>
      <c r="G281" s="2"/>
      <c r="H281" s="22"/>
      <c r="L281" s="2"/>
      <c r="M281" s="2"/>
      <c r="N281" s="2"/>
      <c r="O281" s="2"/>
      <c r="P281" s="2"/>
      <c r="Q281" s="22"/>
      <c r="R281" s="22"/>
      <c r="U281" s="71"/>
      <c r="V281" s="71"/>
      <c r="W281" s="22"/>
    </row>
    <row r="282" spans="5:23" x14ac:dyDescent="0.25">
      <c r="E282" s="2"/>
      <c r="F282" s="2"/>
      <c r="G282" s="2"/>
      <c r="H282" s="22"/>
      <c r="L282" s="2"/>
      <c r="M282" s="2"/>
      <c r="N282" s="2"/>
      <c r="O282" s="2"/>
      <c r="P282" s="2"/>
      <c r="Q282" s="22"/>
      <c r="R282" s="22"/>
      <c r="U282" s="71"/>
      <c r="V282" s="71"/>
      <c r="W282" s="22"/>
    </row>
    <row r="283" spans="5:23" x14ac:dyDescent="0.25">
      <c r="E283" s="2"/>
      <c r="F283" s="2"/>
      <c r="G283" s="2"/>
      <c r="H283" s="22"/>
      <c r="L283" s="2"/>
      <c r="M283" s="2"/>
      <c r="N283" s="2"/>
      <c r="O283" s="2"/>
      <c r="P283" s="2"/>
      <c r="Q283" s="22"/>
      <c r="R283" s="22"/>
      <c r="U283" s="71"/>
      <c r="V283" s="71"/>
      <c r="W283" s="22"/>
    </row>
    <row r="284" spans="5:23" x14ac:dyDescent="0.25">
      <c r="E284" s="2"/>
      <c r="F284" s="2"/>
      <c r="G284" s="2"/>
      <c r="H284" s="22"/>
      <c r="L284" s="2"/>
      <c r="M284" s="2"/>
      <c r="N284" s="2"/>
      <c r="O284" s="2"/>
      <c r="P284" s="2"/>
      <c r="Q284" s="22"/>
      <c r="R284" s="22"/>
      <c r="U284" s="71"/>
      <c r="V284" s="71"/>
      <c r="W284" s="22"/>
    </row>
    <row r="285" spans="5:23" x14ac:dyDescent="0.25">
      <c r="E285" s="2"/>
      <c r="F285" s="2"/>
      <c r="G285" s="2"/>
      <c r="H285" s="22"/>
      <c r="L285" s="2"/>
      <c r="M285" s="2"/>
      <c r="N285" s="2"/>
      <c r="O285" s="2"/>
      <c r="P285" s="2"/>
      <c r="Q285" s="22"/>
      <c r="R285" s="22"/>
      <c r="U285" s="71"/>
      <c r="V285" s="71"/>
      <c r="W285" s="22"/>
    </row>
    <row r="286" spans="5:23" x14ac:dyDescent="0.25">
      <c r="E286" s="2"/>
      <c r="F286" s="2"/>
      <c r="G286" s="2"/>
      <c r="H286" s="22"/>
      <c r="L286" s="2"/>
      <c r="M286" s="2"/>
      <c r="N286" s="2"/>
      <c r="O286" s="2"/>
      <c r="P286" s="2"/>
      <c r="Q286" s="22"/>
      <c r="R286" s="22"/>
      <c r="U286" s="71"/>
      <c r="V286" s="71"/>
      <c r="W286" s="22"/>
    </row>
    <row r="287" spans="5:23" x14ac:dyDescent="0.25">
      <c r="E287" s="2"/>
      <c r="F287" s="2"/>
      <c r="G287" s="2"/>
      <c r="H287" s="22"/>
      <c r="L287" s="2"/>
      <c r="M287" s="2"/>
      <c r="N287" s="2"/>
      <c r="O287" s="2"/>
      <c r="P287" s="2"/>
      <c r="Q287" s="22"/>
      <c r="R287" s="22"/>
      <c r="U287" s="71"/>
      <c r="V287" s="71"/>
      <c r="W287" s="22"/>
    </row>
    <row r="288" spans="5:23" x14ac:dyDescent="0.25">
      <c r="E288" s="2"/>
      <c r="F288" s="2"/>
      <c r="G288" s="2"/>
      <c r="H288" s="22"/>
      <c r="L288" s="2"/>
      <c r="M288" s="2"/>
      <c r="N288" s="2"/>
      <c r="O288" s="2"/>
      <c r="P288" s="2"/>
      <c r="Q288" s="22"/>
      <c r="R288" s="22"/>
      <c r="U288" s="71"/>
      <c r="V288" s="71"/>
      <c r="W288" s="22"/>
    </row>
    <row r="289" spans="5:23" x14ac:dyDescent="0.25">
      <c r="E289" s="2"/>
      <c r="F289" s="2"/>
      <c r="G289" s="2"/>
      <c r="H289" s="22"/>
      <c r="L289" s="2"/>
      <c r="M289" s="2"/>
      <c r="N289" s="2"/>
      <c r="O289" s="2"/>
      <c r="P289" s="2"/>
      <c r="Q289" s="22"/>
      <c r="R289" s="22"/>
      <c r="U289" s="71"/>
      <c r="V289" s="71"/>
      <c r="W289" s="22"/>
    </row>
    <row r="290" spans="5:23" x14ac:dyDescent="0.25">
      <c r="E290" s="2"/>
      <c r="F290" s="2"/>
      <c r="G290" s="2"/>
      <c r="H290" s="22"/>
      <c r="L290" s="2"/>
      <c r="M290" s="2"/>
      <c r="N290" s="2"/>
      <c r="O290" s="2"/>
      <c r="P290" s="2"/>
      <c r="Q290" s="22"/>
      <c r="R290" s="22"/>
      <c r="U290" s="71"/>
      <c r="V290" s="71"/>
      <c r="W290" s="22"/>
    </row>
    <row r="291" spans="5:23" x14ac:dyDescent="0.25">
      <c r="E291" s="2"/>
      <c r="F291" s="2"/>
      <c r="G291" s="2"/>
      <c r="H291" s="22"/>
      <c r="L291" s="2"/>
      <c r="M291" s="2"/>
      <c r="N291" s="2"/>
      <c r="O291" s="2"/>
      <c r="P291" s="2"/>
      <c r="Q291" s="22"/>
      <c r="R291" s="22"/>
      <c r="U291" s="71"/>
      <c r="V291" s="71"/>
      <c r="W291" s="22"/>
    </row>
    <row r="292" spans="5:23" x14ac:dyDescent="0.25">
      <c r="E292" s="2"/>
      <c r="F292" s="2"/>
      <c r="G292" s="2"/>
      <c r="H292" s="22"/>
      <c r="L292" s="2"/>
      <c r="M292" s="2"/>
      <c r="N292" s="2"/>
      <c r="O292" s="2"/>
      <c r="P292" s="2"/>
      <c r="Q292" s="22"/>
      <c r="R292" s="22"/>
      <c r="U292" s="71"/>
      <c r="V292" s="71"/>
      <c r="W292" s="22"/>
    </row>
    <row r="293" spans="5:23" x14ac:dyDescent="0.25">
      <c r="E293" s="2"/>
      <c r="F293" s="2"/>
      <c r="G293" s="2"/>
      <c r="H293" s="22"/>
      <c r="L293" s="2"/>
      <c r="M293" s="2"/>
      <c r="N293" s="2"/>
      <c r="O293" s="2"/>
      <c r="P293" s="2"/>
      <c r="Q293" s="22"/>
      <c r="R293" s="22"/>
      <c r="U293" s="71"/>
      <c r="V293" s="71"/>
      <c r="W293" s="22"/>
    </row>
    <row r="294" spans="5:23" x14ac:dyDescent="0.25">
      <c r="E294" s="2"/>
      <c r="F294" s="2"/>
      <c r="G294" s="2"/>
      <c r="H294" s="22"/>
      <c r="L294" s="2"/>
      <c r="M294" s="2"/>
      <c r="N294" s="2"/>
      <c r="O294" s="2"/>
      <c r="P294" s="2"/>
      <c r="Q294" s="22"/>
      <c r="R294" s="22"/>
      <c r="U294" s="71"/>
      <c r="V294" s="71"/>
      <c r="W294" s="22"/>
    </row>
    <row r="295" spans="5:23" x14ac:dyDescent="0.25">
      <c r="E295" s="2"/>
      <c r="F295" s="2"/>
      <c r="G295" s="2"/>
      <c r="H295" s="22"/>
      <c r="L295" s="2"/>
      <c r="M295" s="2"/>
      <c r="N295" s="2"/>
      <c r="O295" s="2"/>
      <c r="P295" s="2"/>
      <c r="Q295" s="22"/>
      <c r="R295" s="22"/>
      <c r="U295" s="71"/>
      <c r="V295" s="71"/>
      <c r="W295" s="22"/>
    </row>
    <row r="296" spans="5:23" x14ac:dyDescent="0.25">
      <c r="E296" s="2"/>
      <c r="F296" s="2"/>
      <c r="G296" s="2"/>
      <c r="H296" s="22"/>
      <c r="L296" s="2"/>
      <c r="M296" s="2"/>
      <c r="N296" s="2"/>
      <c r="O296" s="2"/>
      <c r="P296" s="2"/>
      <c r="Q296" s="22"/>
      <c r="R296" s="22"/>
      <c r="U296" s="71"/>
      <c r="V296" s="71"/>
      <c r="W296" s="22"/>
    </row>
    <row r="297" spans="5:23" x14ac:dyDescent="0.25">
      <c r="E297" s="2"/>
      <c r="F297" s="2"/>
      <c r="G297" s="2"/>
      <c r="H297" s="22"/>
      <c r="L297" s="2"/>
      <c r="M297" s="2"/>
      <c r="N297" s="2"/>
      <c r="O297" s="2"/>
      <c r="P297" s="2"/>
      <c r="Q297" s="22"/>
      <c r="R297" s="22"/>
      <c r="U297" s="71"/>
      <c r="V297" s="71"/>
      <c r="W297" s="22"/>
    </row>
    <row r="298" spans="5:23" x14ac:dyDescent="0.25">
      <c r="E298" s="2"/>
      <c r="F298" s="2"/>
      <c r="G298" s="2"/>
      <c r="H298" s="22"/>
      <c r="L298" s="2"/>
      <c r="M298" s="2"/>
      <c r="N298" s="2"/>
      <c r="O298" s="2"/>
      <c r="P298" s="2"/>
      <c r="Q298" s="22"/>
      <c r="R298" s="22"/>
      <c r="U298" s="71"/>
      <c r="V298" s="71"/>
      <c r="W298" s="22"/>
    </row>
    <row r="299" spans="5:23" x14ac:dyDescent="0.25">
      <c r="E299" s="2"/>
      <c r="F299" s="2"/>
      <c r="G299" s="2"/>
      <c r="H299" s="22"/>
      <c r="L299" s="2"/>
      <c r="M299" s="2"/>
      <c r="N299" s="2"/>
      <c r="O299" s="2"/>
      <c r="P299" s="2"/>
      <c r="Q299" s="22"/>
      <c r="R299" s="22"/>
      <c r="U299" s="71"/>
      <c r="V299" s="71"/>
      <c r="W299" s="22"/>
    </row>
    <row r="300" spans="5:23" x14ac:dyDescent="0.25">
      <c r="E300" s="2"/>
      <c r="F300" s="2"/>
      <c r="G300" s="2"/>
      <c r="H300" s="22"/>
      <c r="L300" s="2"/>
      <c r="M300" s="2"/>
      <c r="N300" s="2"/>
      <c r="O300" s="2"/>
      <c r="P300" s="2"/>
      <c r="Q300" s="22"/>
      <c r="R300" s="22"/>
      <c r="U300" s="71"/>
      <c r="V300" s="71"/>
      <c r="W300" s="22"/>
    </row>
    <row r="301" spans="5:23" x14ac:dyDescent="0.25">
      <c r="E301" s="2"/>
      <c r="F301" s="2"/>
      <c r="G301" s="2"/>
      <c r="H301" s="22"/>
      <c r="L301" s="2"/>
      <c r="M301" s="2"/>
      <c r="N301" s="2"/>
      <c r="O301" s="2"/>
      <c r="P301" s="2"/>
      <c r="Q301" s="22"/>
      <c r="R301" s="22"/>
      <c r="U301" s="71"/>
      <c r="V301" s="71"/>
      <c r="W301" s="22"/>
    </row>
    <row r="302" spans="5:23" x14ac:dyDescent="0.25">
      <c r="E302" s="2"/>
      <c r="F302" s="2"/>
      <c r="G302" s="2"/>
      <c r="H302" s="22"/>
      <c r="L302" s="2"/>
      <c r="M302" s="2"/>
      <c r="N302" s="2"/>
      <c r="O302" s="2"/>
      <c r="P302" s="2"/>
      <c r="Q302" s="22"/>
      <c r="R302" s="22"/>
      <c r="U302" s="71"/>
      <c r="V302" s="71"/>
      <c r="W302" s="22"/>
    </row>
    <row r="303" spans="5:23" x14ac:dyDescent="0.25">
      <c r="E303" s="2"/>
      <c r="F303" s="2"/>
      <c r="G303" s="2"/>
      <c r="H303" s="22"/>
      <c r="L303" s="2"/>
      <c r="M303" s="2"/>
      <c r="N303" s="2"/>
      <c r="O303" s="2"/>
      <c r="P303" s="2"/>
      <c r="Q303" s="22"/>
      <c r="R303" s="22"/>
      <c r="U303" s="71"/>
      <c r="V303" s="71"/>
      <c r="W303" s="22"/>
    </row>
    <row r="304" spans="5:23" x14ac:dyDescent="0.25">
      <c r="E304" s="2"/>
      <c r="F304" s="2"/>
      <c r="G304" s="2"/>
      <c r="H304" s="22"/>
      <c r="L304" s="2"/>
      <c r="M304" s="2"/>
      <c r="N304" s="2"/>
      <c r="O304" s="2"/>
      <c r="P304" s="2"/>
      <c r="Q304" s="22"/>
      <c r="R304" s="22"/>
      <c r="U304" s="71"/>
      <c r="V304" s="71"/>
      <c r="W304" s="22"/>
    </row>
    <row r="305" spans="5:23" x14ac:dyDescent="0.25">
      <c r="E305" s="2"/>
      <c r="F305" s="2"/>
      <c r="G305" s="2"/>
      <c r="H305" s="22"/>
      <c r="L305" s="2"/>
      <c r="M305" s="2"/>
      <c r="N305" s="2"/>
      <c r="O305" s="2"/>
      <c r="P305" s="2"/>
      <c r="Q305" s="22"/>
      <c r="R305" s="22"/>
      <c r="U305" s="71"/>
      <c r="V305" s="71"/>
      <c r="W305" s="22"/>
    </row>
    <row r="306" spans="5:23" x14ac:dyDescent="0.25">
      <c r="E306" s="2"/>
      <c r="F306" s="2"/>
      <c r="G306" s="2"/>
      <c r="H306" s="22"/>
      <c r="L306" s="2"/>
      <c r="M306" s="2"/>
      <c r="N306" s="2"/>
      <c r="O306" s="2"/>
      <c r="P306" s="2"/>
      <c r="Q306" s="22"/>
      <c r="R306" s="22"/>
      <c r="U306" s="71"/>
      <c r="V306" s="71"/>
      <c r="W306" s="22"/>
    </row>
    <row r="307" spans="5:23" x14ac:dyDescent="0.25">
      <c r="E307" s="2"/>
      <c r="F307" s="2"/>
      <c r="G307" s="2"/>
      <c r="H307" s="22"/>
      <c r="L307" s="2"/>
      <c r="M307" s="2"/>
      <c r="N307" s="2"/>
      <c r="O307" s="2"/>
      <c r="P307" s="2"/>
      <c r="Q307" s="22"/>
      <c r="R307" s="22"/>
      <c r="U307" s="71"/>
      <c r="V307" s="71"/>
      <c r="W307" s="22"/>
    </row>
    <row r="308" spans="5:23" x14ac:dyDescent="0.25">
      <c r="E308" s="2"/>
      <c r="F308" s="2"/>
      <c r="G308" s="2"/>
      <c r="H308" s="22"/>
      <c r="L308" s="2"/>
      <c r="M308" s="2"/>
      <c r="N308" s="2"/>
      <c r="O308" s="2"/>
      <c r="P308" s="2"/>
      <c r="Q308" s="22"/>
      <c r="R308" s="22"/>
      <c r="U308" s="71"/>
      <c r="V308" s="71"/>
      <c r="W308" s="22"/>
    </row>
    <row r="309" spans="5:23" x14ac:dyDescent="0.25">
      <c r="E309" s="2"/>
      <c r="F309" s="2"/>
      <c r="G309" s="2"/>
      <c r="H309" s="22"/>
      <c r="L309" s="2"/>
      <c r="M309" s="2"/>
      <c r="N309" s="2"/>
      <c r="O309" s="2"/>
      <c r="P309" s="2"/>
      <c r="Q309" s="22"/>
      <c r="R309" s="22"/>
      <c r="U309" s="71"/>
      <c r="V309" s="71"/>
      <c r="W309" s="22"/>
    </row>
    <row r="310" spans="5:23" x14ac:dyDescent="0.25">
      <c r="E310" s="2"/>
      <c r="F310" s="2"/>
      <c r="G310" s="2"/>
      <c r="H310" s="22"/>
      <c r="L310" s="2"/>
      <c r="M310" s="2"/>
      <c r="N310" s="2"/>
      <c r="O310" s="2"/>
      <c r="P310" s="2"/>
      <c r="Q310" s="22"/>
      <c r="R310" s="22"/>
      <c r="U310" s="71"/>
      <c r="V310" s="71"/>
      <c r="W310" s="22"/>
    </row>
    <row r="311" spans="5:23" x14ac:dyDescent="0.25">
      <c r="E311" s="2"/>
      <c r="F311" s="2"/>
      <c r="G311" s="2"/>
      <c r="H311" s="22"/>
      <c r="L311" s="2"/>
      <c r="M311" s="2"/>
      <c r="N311" s="2"/>
      <c r="O311" s="2"/>
      <c r="P311" s="2"/>
      <c r="Q311" s="22"/>
      <c r="R311" s="22"/>
      <c r="U311" s="71"/>
      <c r="V311" s="71"/>
      <c r="W311" s="22"/>
    </row>
    <row r="312" spans="5:23" x14ac:dyDescent="0.25">
      <c r="E312" s="2"/>
      <c r="F312" s="2"/>
      <c r="G312" s="2"/>
      <c r="H312" s="22"/>
      <c r="L312" s="2"/>
      <c r="M312" s="2"/>
      <c r="N312" s="2"/>
      <c r="O312" s="2"/>
      <c r="P312" s="2"/>
      <c r="Q312" s="22"/>
      <c r="R312" s="22"/>
      <c r="U312" s="71"/>
      <c r="V312" s="71"/>
      <c r="W312" s="22"/>
    </row>
    <row r="313" spans="5:23" x14ac:dyDescent="0.25">
      <c r="E313" s="2"/>
      <c r="F313" s="2"/>
      <c r="G313" s="2"/>
      <c r="H313" s="22"/>
      <c r="L313" s="2"/>
      <c r="M313" s="2"/>
      <c r="N313" s="2"/>
      <c r="O313" s="2"/>
      <c r="P313" s="2"/>
      <c r="Q313" s="22"/>
      <c r="R313" s="22"/>
      <c r="U313" s="71"/>
      <c r="V313" s="71"/>
      <c r="W313" s="22"/>
    </row>
    <row r="314" spans="5:23" x14ac:dyDescent="0.25">
      <c r="E314" s="2"/>
      <c r="F314" s="2"/>
      <c r="G314" s="2"/>
      <c r="H314" s="22"/>
      <c r="L314" s="2"/>
      <c r="M314" s="2"/>
      <c r="N314" s="2"/>
      <c r="O314" s="2"/>
      <c r="P314" s="2"/>
      <c r="Q314" s="22"/>
      <c r="R314" s="22"/>
      <c r="U314" s="71"/>
      <c r="V314" s="71"/>
      <c r="W314" s="22"/>
    </row>
    <row r="315" spans="5:23" x14ac:dyDescent="0.25">
      <c r="E315" s="2"/>
      <c r="F315" s="2"/>
      <c r="G315" s="2"/>
      <c r="H315" s="22"/>
      <c r="L315" s="2"/>
      <c r="M315" s="2"/>
      <c r="N315" s="2"/>
      <c r="O315" s="2"/>
      <c r="P315" s="2"/>
      <c r="Q315" s="22"/>
      <c r="R315" s="22"/>
      <c r="U315" s="71"/>
      <c r="V315" s="71"/>
      <c r="W315" s="22"/>
    </row>
    <row r="316" spans="5:23" x14ac:dyDescent="0.25">
      <c r="E316" s="2"/>
      <c r="F316" s="2"/>
      <c r="G316" s="2"/>
      <c r="H316" s="22"/>
      <c r="L316" s="2"/>
      <c r="M316" s="2"/>
      <c r="N316" s="2"/>
      <c r="O316" s="2"/>
      <c r="P316" s="2"/>
      <c r="Q316" s="22"/>
      <c r="R316" s="22"/>
      <c r="U316" s="71"/>
      <c r="V316" s="71"/>
      <c r="W316" s="22"/>
    </row>
    <row r="317" spans="5:23" x14ac:dyDescent="0.25">
      <c r="E317" s="2"/>
      <c r="F317" s="2"/>
      <c r="G317" s="2"/>
      <c r="H317" s="22"/>
      <c r="L317" s="2"/>
      <c r="M317" s="2"/>
      <c r="N317" s="2"/>
      <c r="O317" s="2"/>
      <c r="P317" s="2"/>
      <c r="Q317" s="22"/>
      <c r="R317" s="22"/>
      <c r="U317" s="71"/>
      <c r="V317" s="71"/>
      <c r="W317" s="22"/>
    </row>
    <row r="318" spans="5:23" x14ac:dyDescent="0.25">
      <c r="E318" s="2"/>
      <c r="F318" s="2"/>
      <c r="G318" s="2"/>
      <c r="H318" s="22"/>
      <c r="L318" s="2"/>
      <c r="M318" s="2"/>
      <c r="N318" s="2"/>
      <c r="O318" s="2"/>
      <c r="P318" s="2"/>
      <c r="Q318" s="22"/>
      <c r="R318" s="22"/>
      <c r="U318" s="71"/>
      <c r="V318" s="71"/>
      <c r="W318" s="22"/>
    </row>
    <row r="319" spans="5:23" x14ac:dyDescent="0.25">
      <c r="E319" s="2"/>
      <c r="F319" s="2"/>
      <c r="G319" s="2"/>
      <c r="H319" s="22"/>
      <c r="L319" s="2"/>
      <c r="M319" s="2"/>
      <c r="N319" s="2"/>
      <c r="O319" s="2"/>
      <c r="P319" s="2"/>
      <c r="Q319" s="22"/>
      <c r="R319" s="22"/>
      <c r="U319" s="71"/>
      <c r="V319" s="71"/>
      <c r="W319" s="22"/>
    </row>
    <row r="320" spans="5:23" x14ac:dyDescent="0.25">
      <c r="E320" s="2"/>
      <c r="F320" s="2"/>
      <c r="G320" s="2"/>
      <c r="H320" s="22"/>
      <c r="L320" s="2"/>
      <c r="M320" s="2"/>
      <c r="N320" s="2"/>
      <c r="O320" s="2"/>
      <c r="P320" s="2"/>
      <c r="Q320" s="22"/>
      <c r="R320" s="22"/>
      <c r="U320" s="71"/>
      <c r="V320" s="71"/>
      <c r="W320" s="22"/>
    </row>
    <row r="321" spans="5:23" x14ac:dyDescent="0.25">
      <c r="E321" s="2"/>
      <c r="F321" s="2"/>
      <c r="G321" s="2"/>
      <c r="H321" s="22"/>
      <c r="L321" s="2"/>
      <c r="M321" s="2"/>
      <c r="N321" s="2"/>
      <c r="O321" s="2"/>
      <c r="P321" s="2"/>
      <c r="Q321" s="22"/>
      <c r="R321" s="22"/>
      <c r="U321" s="71"/>
      <c r="V321" s="71"/>
      <c r="W321" s="22"/>
    </row>
    <row r="322" spans="5:23" x14ac:dyDescent="0.25">
      <c r="E322" s="2"/>
      <c r="F322" s="2"/>
      <c r="G322" s="2"/>
      <c r="H322" s="22"/>
      <c r="L322" s="2"/>
      <c r="M322" s="2"/>
      <c r="N322" s="2"/>
      <c r="O322" s="2"/>
      <c r="P322" s="2"/>
      <c r="Q322" s="22"/>
      <c r="R322" s="22"/>
      <c r="U322" s="71"/>
      <c r="V322" s="71"/>
      <c r="W322" s="22"/>
    </row>
    <row r="323" spans="5:23" x14ac:dyDescent="0.25">
      <c r="E323" s="2"/>
      <c r="F323" s="2"/>
      <c r="G323" s="2"/>
      <c r="H323" s="22"/>
      <c r="L323" s="2"/>
      <c r="M323" s="2"/>
      <c r="N323" s="2"/>
      <c r="O323" s="2"/>
      <c r="P323" s="2"/>
      <c r="Q323" s="22"/>
      <c r="R323" s="22"/>
      <c r="U323" s="71"/>
      <c r="V323" s="71"/>
      <c r="W323" s="22"/>
    </row>
    <row r="324" spans="5:23" x14ac:dyDescent="0.25">
      <c r="E324" s="2"/>
      <c r="F324" s="2"/>
      <c r="G324" s="2"/>
      <c r="H324" s="22"/>
      <c r="L324" s="2"/>
      <c r="M324" s="2"/>
      <c r="N324" s="2"/>
      <c r="O324" s="2"/>
      <c r="P324" s="2"/>
      <c r="Q324" s="22"/>
      <c r="R324" s="22"/>
      <c r="U324" s="71"/>
      <c r="V324" s="71"/>
      <c r="W324" s="22"/>
    </row>
    <row r="325" spans="5:23" x14ac:dyDescent="0.25">
      <c r="E325" s="2"/>
      <c r="F325" s="2"/>
      <c r="G325" s="2"/>
      <c r="H325" s="22"/>
      <c r="L325" s="2"/>
      <c r="M325" s="2"/>
      <c r="N325" s="2"/>
      <c r="O325" s="2"/>
      <c r="P325" s="2"/>
      <c r="Q325" s="22"/>
      <c r="R325" s="22"/>
      <c r="U325" s="71"/>
      <c r="V325" s="71"/>
      <c r="W325" s="22"/>
    </row>
    <row r="326" spans="5:23" x14ac:dyDescent="0.25">
      <c r="E326" s="2"/>
      <c r="F326" s="2"/>
      <c r="G326" s="2"/>
      <c r="H326" s="22"/>
      <c r="L326" s="2"/>
      <c r="M326" s="2"/>
      <c r="N326" s="2"/>
      <c r="O326" s="2"/>
      <c r="P326" s="2"/>
      <c r="Q326" s="22"/>
      <c r="R326" s="22"/>
      <c r="U326" s="71"/>
      <c r="V326" s="71"/>
      <c r="W326" s="22"/>
    </row>
    <row r="327" spans="5:23" x14ac:dyDescent="0.25">
      <c r="E327" s="2"/>
      <c r="F327" s="2"/>
      <c r="G327" s="2"/>
      <c r="H327" s="22"/>
      <c r="L327" s="2"/>
      <c r="M327" s="2"/>
      <c r="N327" s="2"/>
      <c r="O327" s="2"/>
      <c r="P327" s="2"/>
      <c r="Q327" s="22"/>
      <c r="R327" s="22"/>
      <c r="U327" s="71"/>
      <c r="V327" s="71"/>
      <c r="W327" s="22"/>
    </row>
    <row r="328" spans="5:23" x14ac:dyDescent="0.25">
      <c r="E328" s="2"/>
      <c r="F328" s="2"/>
      <c r="G328" s="2"/>
      <c r="H328" s="22"/>
      <c r="L328" s="2"/>
      <c r="M328" s="2"/>
      <c r="N328" s="2"/>
      <c r="O328" s="2"/>
      <c r="P328" s="2"/>
      <c r="Q328" s="22"/>
      <c r="R328" s="22"/>
      <c r="U328" s="71"/>
      <c r="V328" s="71"/>
      <c r="W328" s="22"/>
    </row>
    <row r="329" spans="5:23" x14ac:dyDescent="0.25">
      <c r="E329" s="2"/>
      <c r="F329" s="2"/>
      <c r="G329" s="2"/>
      <c r="H329" s="22"/>
      <c r="L329" s="2"/>
      <c r="M329" s="2"/>
      <c r="N329" s="2"/>
      <c r="O329" s="2"/>
      <c r="P329" s="2"/>
      <c r="Q329" s="22"/>
      <c r="R329" s="22"/>
      <c r="U329" s="71"/>
      <c r="V329" s="71"/>
      <c r="W329" s="22"/>
    </row>
    <row r="330" spans="5:23" x14ac:dyDescent="0.25">
      <c r="E330" s="2"/>
      <c r="F330" s="2"/>
      <c r="G330" s="2"/>
      <c r="H330" s="22"/>
      <c r="L330" s="2"/>
      <c r="M330" s="2"/>
      <c r="N330" s="2"/>
      <c r="O330" s="2"/>
      <c r="P330" s="2"/>
      <c r="Q330" s="22"/>
      <c r="R330" s="22"/>
      <c r="U330" s="71"/>
      <c r="V330" s="71"/>
      <c r="W330" s="22"/>
    </row>
    <row r="331" spans="5:23" x14ac:dyDescent="0.25">
      <c r="E331" s="2"/>
      <c r="F331" s="2"/>
      <c r="G331" s="2"/>
      <c r="H331" s="22"/>
      <c r="L331" s="2"/>
      <c r="M331" s="2"/>
      <c r="N331" s="2"/>
      <c r="O331" s="2"/>
      <c r="P331" s="2"/>
      <c r="Q331" s="22"/>
      <c r="R331" s="22"/>
      <c r="U331" s="71"/>
      <c r="V331" s="71"/>
      <c r="W331" s="22"/>
    </row>
    <row r="332" spans="5:23" x14ac:dyDescent="0.25">
      <c r="E332" s="2"/>
      <c r="F332" s="2"/>
      <c r="G332" s="2"/>
      <c r="H332" s="22"/>
      <c r="L332" s="2"/>
      <c r="M332" s="2"/>
      <c r="N332" s="2"/>
      <c r="O332" s="2"/>
      <c r="P332" s="2"/>
      <c r="Q332" s="22"/>
      <c r="R332" s="22"/>
      <c r="U332" s="71"/>
      <c r="V332" s="71"/>
      <c r="W332" s="22"/>
    </row>
    <row r="333" spans="5:23" x14ac:dyDescent="0.25">
      <c r="E333" s="2"/>
      <c r="F333" s="2"/>
      <c r="G333" s="2"/>
      <c r="H333" s="22"/>
      <c r="L333" s="2"/>
      <c r="M333" s="2"/>
      <c r="N333" s="2"/>
      <c r="O333" s="2"/>
      <c r="P333" s="2"/>
      <c r="Q333" s="22"/>
      <c r="R333" s="22"/>
      <c r="U333" s="71"/>
      <c r="V333" s="71"/>
      <c r="W333" s="22"/>
    </row>
    <row r="334" spans="5:23" x14ac:dyDescent="0.25">
      <c r="E334" s="2"/>
      <c r="F334" s="2"/>
      <c r="G334" s="2"/>
      <c r="H334" s="22"/>
      <c r="L334" s="2"/>
      <c r="M334" s="2"/>
      <c r="N334" s="2"/>
      <c r="O334" s="2"/>
      <c r="P334" s="2"/>
      <c r="Q334" s="22"/>
      <c r="R334" s="22"/>
      <c r="U334" s="71"/>
      <c r="V334" s="71"/>
      <c r="W334" s="22"/>
    </row>
    <row r="335" spans="5:23" x14ac:dyDescent="0.25">
      <c r="E335" s="2"/>
      <c r="F335" s="2"/>
      <c r="G335" s="2"/>
      <c r="H335" s="22"/>
      <c r="L335" s="2"/>
      <c r="M335" s="2"/>
      <c r="N335" s="2"/>
      <c r="O335" s="2"/>
      <c r="P335" s="2"/>
      <c r="Q335" s="22"/>
      <c r="R335" s="22"/>
      <c r="U335" s="71"/>
      <c r="V335" s="71"/>
      <c r="W335" s="22"/>
    </row>
    <row r="336" spans="5:23" x14ac:dyDescent="0.25">
      <c r="E336" s="2"/>
      <c r="F336" s="2"/>
      <c r="G336" s="2"/>
      <c r="H336" s="22"/>
      <c r="L336" s="2"/>
      <c r="M336" s="2"/>
      <c r="N336" s="2"/>
      <c r="O336" s="2"/>
      <c r="P336" s="2"/>
      <c r="Q336" s="22"/>
      <c r="R336" s="22"/>
      <c r="U336" s="71"/>
      <c r="V336" s="71"/>
      <c r="W336" s="22"/>
    </row>
    <row r="337" spans="5:23" x14ac:dyDescent="0.25">
      <c r="E337" s="2"/>
      <c r="F337" s="2"/>
      <c r="G337" s="2"/>
      <c r="H337" s="22"/>
      <c r="L337" s="2"/>
      <c r="M337" s="2"/>
      <c r="N337" s="2"/>
      <c r="O337" s="2"/>
      <c r="P337" s="2"/>
      <c r="Q337" s="22"/>
      <c r="R337" s="22"/>
      <c r="U337" s="71"/>
      <c r="V337" s="71"/>
      <c r="W337" s="22"/>
    </row>
    <row r="338" spans="5:23" x14ac:dyDescent="0.25">
      <c r="E338" s="2"/>
      <c r="F338" s="2"/>
      <c r="G338" s="2"/>
      <c r="H338" s="22"/>
      <c r="L338" s="2"/>
      <c r="M338" s="2"/>
      <c r="N338" s="2"/>
      <c r="O338" s="2"/>
      <c r="P338" s="2"/>
      <c r="Q338" s="22"/>
      <c r="R338" s="22"/>
      <c r="U338" s="71"/>
      <c r="V338" s="71"/>
      <c r="W338" s="22"/>
    </row>
    <row r="339" spans="5:23" x14ac:dyDescent="0.25">
      <c r="E339" s="2"/>
      <c r="F339" s="2"/>
      <c r="G339" s="2"/>
      <c r="H339" s="22"/>
      <c r="L339" s="2"/>
      <c r="M339" s="2"/>
      <c r="N339" s="2"/>
      <c r="O339" s="2"/>
      <c r="P339" s="2"/>
      <c r="Q339" s="22"/>
      <c r="R339" s="22"/>
      <c r="U339" s="71"/>
      <c r="V339" s="71"/>
      <c r="W339" s="22"/>
    </row>
    <row r="340" spans="5:23" x14ac:dyDescent="0.25">
      <c r="E340" s="2"/>
      <c r="F340" s="2"/>
      <c r="G340" s="2"/>
      <c r="H340" s="22"/>
      <c r="L340" s="2"/>
      <c r="M340" s="2"/>
      <c r="N340" s="2"/>
      <c r="O340" s="2"/>
      <c r="P340" s="2"/>
      <c r="Q340" s="22"/>
      <c r="R340" s="22"/>
      <c r="U340" s="71"/>
      <c r="V340" s="71"/>
      <c r="W340" s="22"/>
    </row>
    <row r="341" spans="5:23" x14ac:dyDescent="0.25">
      <c r="E341" s="2"/>
      <c r="F341" s="2"/>
      <c r="G341" s="2"/>
      <c r="H341" s="22"/>
      <c r="L341" s="2"/>
      <c r="M341" s="2"/>
      <c r="N341" s="2"/>
      <c r="O341" s="2"/>
      <c r="P341" s="2"/>
      <c r="Q341" s="22"/>
      <c r="R341" s="22"/>
      <c r="U341" s="71"/>
      <c r="V341" s="71"/>
      <c r="W341" s="22"/>
    </row>
    <row r="342" spans="5:23" x14ac:dyDescent="0.25">
      <c r="E342" s="2"/>
      <c r="F342" s="2"/>
      <c r="G342" s="2"/>
      <c r="H342" s="22"/>
      <c r="L342" s="2"/>
      <c r="M342" s="2"/>
      <c r="N342" s="2"/>
      <c r="O342" s="2"/>
      <c r="P342" s="2"/>
      <c r="Q342" s="22"/>
      <c r="R342" s="22"/>
      <c r="U342" s="71"/>
      <c r="V342" s="71"/>
      <c r="W342" s="22"/>
    </row>
    <row r="343" spans="5:23" x14ac:dyDescent="0.25">
      <c r="E343" s="2"/>
      <c r="F343" s="2"/>
      <c r="G343" s="2"/>
      <c r="H343" s="22"/>
      <c r="L343" s="2"/>
      <c r="M343" s="2"/>
      <c r="N343" s="2"/>
      <c r="O343" s="2"/>
      <c r="P343" s="2"/>
      <c r="Q343" s="22"/>
      <c r="R343" s="22"/>
      <c r="U343" s="71"/>
      <c r="V343" s="71"/>
      <c r="W343" s="22"/>
    </row>
    <row r="344" spans="5:23" x14ac:dyDescent="0.25">
      <c r="E344" s="2"/>
      <c r="F344" s="2"/>
      <c r="G344" s="2"/>
      <c r="H344" s="22"/>
      <c r="L344" s="2"/>
      <c r="M344" s="2"/>
      <c r="N344" s="2"/>
      <c r="O344" s="2"/>
      <c r="P344" s="2"/>
      <c r="Q344" s="22"/>
      <c r="R344" s="22"/>
      <c r="U344" s="71"/>
      <c r="V344" s="71"/>
      <c r="W344" s="22"/>
    </row>
    <row r="345" spans="5:23" x14ac:dyDescent="0.25">
      <c r="E345" s="2"/>
      <c r="F345" s="2"/>
      <c r="G345" s="2"/>
      <c r="H345" s="22"/>
      <c r="L345" s="2"/>
      <c r="M345" s="2"/>
      <c r="N345" s="2"/>
      <c r="O345" s="2"/>
      <c r="P345" s="2"/>
      <c r="Q345" s="22"/>
      <c r="R345" s="22"/>
      <c r="U345" s="71"/>
      <c r="V345" s="71"/>
      <c r="W345" s="22"/>
    </row>
    <row r="346" spans="5:23" x14ac:dyDescent="0.25">
      <c r="E346" s="2"/>
      <c r="F346" s="2"/>
      <c r="G346" s="2"/>
      <c r="H346" s="22"/>
      <c r="L346" s="2"/>
      <c r="M346" s="2"/>
      <c r="N346" s="2"/>
      <c r="O346" s="2"/>
      <c r="P346" s="2"/>
      <c r="Q346" s="22"/>
      <c r="R346" s="22"/>
      <c r="U346" s="71"/>
      <c r="V346" s="71"/>
      <c r="W346" s="22"/>
    </row>
    <row r="347" spans="5:23" x14ac:dyDescent="0.25">
      <c r="E347" s="2"/>
      <c r="F347" s="2"/>
      <c r="G347" s="2"/>
      <c r="H347" s="22"/>
      <c r="L347" s="2"/>
      <c r="M347" s="2"/>
      <c r="N347" s="2"/>
      <c r="O347" s="2"/>
      <c r="P347" s="2"/>
      <c r="Q347" s="22"/>
      <c r="R347" s="22"/>
      <c r="U347" s="71"/>
      <c r="V347" s="71"/>
      <c r="W347" s="22"/>
    </row>
    <row r="348" spans="5:23" x14ac:dyDescent="0.25">
      <c r="E348" s="2"/>
      <c r="F348" s="2"/>
      <c r="G348" s="2"/>
      <c r="H348" s="22"/>
      <c r="L348" s="2"/>
      <c r="M348" s="2"/>
      <c r="N348" s="2"/>
      <c r="O348" s="2"/>
      <c r="P348" s="2"/>
      <c r="Q348" s="22"/>
      <c r="R348" s="22"/>
      <c r="U348" s="71"/>
      <c r="V348" s="71"/>
      <c r="W348" s="22"/>
    </row>
    <row r="349" spans="5:23" x14ac:dyDescent="0.25">
      <c r="E349" s="2"/>
      <c r="F349" s="2"/>
      <c r="G349" s="2"/>
      <c r="H349" s="22"/>
      <c r="L349" s="2"/>
      <c r="M349" s="2"/>
      <c r="N349" s="2"/>
      <c r="O349" s="2"/>
      <c r="P349" s="2"/>
      <c r="Q349" s="22"/>
      <c r="R349" s="22"/>
      <c r="U349" s="71"/>
      <c r="V349" s="71"/>
      <c r="W349" s="22"/>
    </row>
    <row r="350" spans="5:23" x14ac:dyDescent="0.25">
      <c r="E350" s="2"/>
      <c r="F350" s="2"/>
      <c r="G350" s="2"/>
      <c r="H350" s="22"/>
      <c r="L350" s="2"/>
      <c r="M350" s="2"/>
      <c r="N350" s="2"/>
      <c r="O350" s="2"/>
      <c r="P350" s="2"/>
      <c r="Q350" s="22"/>
      <c r="R350" s="22"/>
      <c r="U350" s="71"/>
      <c r="V350" s="71"/>
      <c r="W350" s="22"/>
    </row>
    <row r="351" spans="5:23" x14ac:dyDescent="0.25">
      <c r="E351" s="2"/>
      <c r="F351" s="2"/>
      <c r="G351" s="2"/>
      <c r="H351" s="22"/>
      <c r="L351" s="2"/>
      <c r="M351" s="2"/>
      <c r="N351" s="2"/>
      <c r="O351" s="2"/>
      <c r="P351" s="2"/>
      <c r="Q351" s="22"/>
      <c r="R351" s="22"/>
      <c r="U351" s="71"/>
      <c r="V351" s="71"/>
      <c r="W351" s="22"/>
    </row>
    <row r="352" spans="5:23" x14ac:dyDescent="0.25">
      <c r="E352" s="2"/>
      <c r="F352" s="2"/>
      <c r="G352" s="2"/>
      <c r="H352" s="22"/>
      <c r="L352" s="2"/>
      <c r="M352" s="2"/>
      <c r="N352" s="2"/>
      <c r="O352" s="2"/>
      <c r="P352" s="2"/>
      <c r="Q352" s="22"/>
      <c r="R352" s="22"/>
      <c r="U352" s="71"/>
      <c r="V352" s="71"/>
      <c r="W352" s="22"/>
    </row>
    <row r="353" spans="5:23" x14ac:dyDescent="0.25">
      <c r="E353" s="2"/>
      <c r="F353" s="2"/>
      <c r="G353" s="2"/>
      <c r="H353" s="22"/>
      <c r="L353" s="2"/>
      <c r="M353" s="2"/>
      <c r="N353" s="2"/>
      <c r="O353" s="2"/>
      <c r="P353" s="2"/>
      <c r="Q353" s="22"/>
      <c r="R353" s="22"/>
      <c r="U353" s="71"/>
      <c r="V353" s="71"/>
      <c r="W353" s="22"/>
    </row>
    <row r="354" spans="5:23" x14ac:dyDescent="0.25">
      <c r="E354" s="2"/>
      <c r="F354" s="2"/>
      <c r="G354" s="2"/>
      <c r="H354" s="22"/>
      <c r="L354" s="2"/>
      <c r="M354" s="2"/>
      <c r="N354" s="2"/>
      <c r="O354" s="2"/>
      <c r="P354" s="2"/>
      <c r="Q354" s="22"/>
      <c r="R354" s="22"/>
      <c r="U354" s="71"/>
      <c r="V354" s="71"/>
      <c r="W354" s="22"/>
    </row>
    <row r="355" spans="5:23" x14ac:dyDescent="0.25">
      <c r="E355" s="2"/>
      <c r="F355" s="2"/>
      <c r="G355" s="2"/>
      <c r="H355" s="22"/>
      <c r="L355" s="2"/>
      <c r="M355" s="2"/>
      <c r="N355" s="2"/>
      <c r="O355" s="2"/>
      <c r="P355" s="2"/>
      <c r="Q355" s="22"/>
      <c r="R355" s="22"/>
      <c r="U355" s="71"/>
      <c r="V355" s="71"/>
      <c r="W355" s="22"/>
    </row>
    <row r="356" spans="5:23" x14ac:dyDescent="0.25">
      <c r="E356" s="2"/>
      <c r="F356" s="2"/>
      <c r="G356" s="2"/>
      <c r="H356" s="22"/>
      <c r="L356" s="2"/>
      <c r="M356" s="2"/>
      <c r="N356" s="2"/>
      <c r="O356" s="2"/>
      <c r="P356" s="2"/>
      <c r="Q356" s="22"/>
      <c r="R356" s="22"/>
      <c r="U356" s="71"/>
      <c r="V356" s="71"/>
      <c r="W356" s="22"/>
    </row>
    <row r="357" spans="5:23" x14ac:dyDescent="0.25">
      <c r="E357" s="2"/>
      <c r="F357" s="2"/>
      <c r="G357" s="2"/>
      <c r="H357" s="22"/>
      <c r="L357" s="2"/>
      <c r="M357" s="2"/>
      <c r="N357" s="2"/>
      <c r="O357" s="2"/>
      <c r="P357" s="2"/>
      <c r="Q357" s="22"/>
      <c r="R357" s="22"/>
      <c r="U357" s="71"/>
      <c r="V357" s="71"/>
      <c r="W357" s="22"/>
    </row>
    <row r="358" spans="5:23" x14ac:dyDescent="0.25">
      <c r="E358" s="2"/>
      <c r="F358" s="2"/>
      <c r="G358" s="2"/>
      <c r="H358" s="22"/>
      <c r="L358" s="2"/>
      <c r="M358" s="2"/>
      <c r="N358" s="2"/>
      <c r="O358" s="2"/>
      <c r="P358" s="2"/>
      <c r="Q358" s="22"/>
      <c r="R358" s="22"/>
      <c r="U358" s="71"/>
      <c r="V358" s="71"/>
      <c r="W358" s="22"/>
    </row>
    <row r="359" spans="5:23" x14ac:dyDescent="0.25">
      <c r="E359" s="2"/>
      <c r="F359" s="2"/>
      <c r="G359" s="2"/>
      <c r="H359" s="22"/>
      <c r="L359" s="2"/>
      <c r="M359" s="2"/>
      <c r="N359" s="2"/>
      <c r="O359" s="2"/>
      <c r="P359" s="2"/>
      <c r="Q359" s="22"/>
      <c r="R359" s="22"/>
      <c r="U359" s="71"/>
      <c r="V359" s="71"/>
      <c r="W359" s="22"/>
    </row>
    <row r="360" spans="5:23" x14ac:dyDescent="0.25">
      <c r="E360" s="2"/>
      <c r="F360" s="2"/>
      <c r="G360" s="2"/>
      <c r="H360" s="22"/>
      <c r="L360" s="2"/>
      <c r="M360" s="2"/>
      <c r="N360" s="2"/>
      <c r="O360" s="2"/>
      <c r="P360" s="2"/>
      <c r="Q360" s="22"/>
      <c r="R360" s="22"/>
      <c r="U360" s="71"/>
      <c r="V360" s="71"/>
      <c r="W360" s="22"/>
    </row>
    <row r="361" spans="5:23" x14ac:dyDescent="0.25">
      <c r="E361" s="2"/>
      <c r="F361" s="2"/>
      <c r="G361" s="2"/>
      <c r="H361" s="22"/>
      <c r="L361" s="2"/>
      <c r="M361" s="2"/>
      <c r="N361" s="2"/>
      <c r="O361" s="2"/>
      <c r="P361" s="2"/>
      <c r="Q361" s="22"/>
      <c r="R361" s="22"/>
      <c r="U361" s="71"/>
      <c r="V361" s="71"/>
      <c r="W361" s="22"/>
    </row>
    <row r="362" spans="5:23" x14ac:dyDescent="0.25">
      <c r="E362" s="2"/>
      <c r="F362" s="2"/>
      <c r="G362" s="2"/>
      <c r="H362" s="22"/>
      <c r="L362" s="2"/>
      <c r="M362" s="2"/>
      <c r="N362" s="2"/>
      <c r="O362" s="2"/>
      <c r="P362" s="2"/>
      <c r="Q362" s="22"/>
      <c r="R362" s="22"/>
      <c r="U362" s="71"/>
      <c r="V362" s="71"/>
      <c r="W362" s="22"/>
    </row>
    <row r="363" spans="5:23" x14ac:dyDescent="0.25">
      <c r="E363" s="2"/>
      <c r="F363" s="2"/>
      <c r="G363" s="2"/>
      <c r="H363" s="22"/>
      <c r="L363" s="2"/>
      <c r="M363" s="2"/>
      <c r="N363" s="2"/>
      <c r="O363" s="2"/>
      <c r="P363" s="2"/>
      <c r="Q363" s="22"/>
      <c r="R363" s="22"/>
      <c r="U363" s="71"/>
      <c r="V363" s="71"/>
      <c r="W363" s="22"/>
    </row>
    <row r="364" spans="5:23" x14ac:dyDescent="0.25">
      <c r="E364" s="2"/>
      <c r="F364" s="2"/>
      <c r="G364" s="2"/>
      <c r="H364" s="22"/>
      <c r="L364" s="2"/>
      <c r="M364" s="2"/>
      <c r="N364" s="2"/>
      <c r="O364" s="2"/>
      <c r="P364" s="2"/>
      <c r="Q364" s="22"/>
      <c r="R364" s="22"/>
      <c r="U364" s="71"/>
      <c r="V364" s="71"/>
      <c r="W364" s="22"/>
    </row>
    <row r="365" spans="5:23" x14ac:dyDescent="0.25">
      <c r="E365" s="2"/>
      <c r="F365" s="2"/>
      <c r="G365" s="2"/>
      <c r="H365" s="22"/>
      <c r="L365" s="2"/>
      <c r="M365" s="2"/>
      <c r="N365" s="2"/>
      <c r="O365" s="2"/>
      <c r="P365" s="2"/>
      <c r="Q365" s="22"/>
      <c r="R365" s="22"/>
      <c r="U365" s="71"/>
      <c r="V365" s="71"/>
      <c r="W365" s="22"/>
    </row>
    <row r="366" spans="5:23" x14ac:dyDescent="0.25">
      <c r="E366" s="2"/>
      <c r="F366" s="2"/>
      <c r="G366" s="2"/>
      <c r="H366" s="22"/>
      <c r="L366" s="2"/>
      <c r="M366" s="2"/>
      <c r="N366" s="2"/>
      <c r="O366" s="2"/>
      <c r="P366" s="2"/>
      <c r="Q366" s="22"/>
      <c r="R366" s="22"/>
      <c r="U366" s="71"/>
      <c r="V366" s="71"/>
      <c r="W366" s="22"/>
    </row>
    <row r="367" spans="5:23" x14ac:dyDescent="0.25">
      <c r="E367" s="2"/>
      <c r="F367" s="2"/>
      <c r="G367" s="2"/>
      <c r="H367" s="22"/>
      <c r="L367" s="2"/>
      <c r="M367" s="2"/>
      <c r="N367" s="2"/>
      <c r="O367" s="2"/>
      <c r="P367" s="2"/>
      <c r="Q367" s="22"/>
      <c r="R367" s="22"/>
      <c r="U367" s="71"/>
      <c r="V367" s="71"/>
      <c r="W367" s="22"/>
    </row>
    <row r="368" spans="5:23" x14ac:dyDescent="0.25">
      <c r="E368" s="2"/>
      <c r="F368" s="2"/>
      <c r="G368" s="2"/>
      <c r="H368" s="22"/>
      <c r="L368" s="2"/>
      <c r="M368" s="2"/>
      <c r="N368" s="2"/>
      <c r="O368" s="2"/>
      <c r="P368" s="2"/>
      <c r="Q368" s="22"/>
      <c r="R368" s="22"/>
      <c r="U368" s="71"/>
      <c r="V368" s="71"/>
      <c r="W368" s="22"/>
    </row>
    <row r="369" spans="5:23" x14ac:dyDescent="0.25">
      <c r="E369" s="2"/>
      <c r="F369" s="2"/>
      <c r="G369" s="2"/>
      <c r="H369" s="22"/>
      <c r="L369" s="2"/>
      <c r="M369" s="2"/>
      <c r="N369" s="2"/>
      <c r="O369" s="2"/>
      <c r="P369" s="2"/>
      <c r="Q369" s="22"/>
      <c r="R369" s="22"/>
      <c r="U369" s="71"/>
      <c r="V369" s="71"/>
      <c r="W369" s="22"/>
    </row>
    <row r="370" spans="5:23" x14ac:dyDescent="0.25">
      <c r="E370" s="2"/>
      <c r="F370" s="2"/>
      <c r="G370" s="2"/>
      <c r="H370" s="22"/>
      <c r="L370" s="2"/>
      <c r="M370" s="2"/>
      <c r="N370" s="2"/>
      <c r="O370" s="2"/>
      <c r="P370" s="2"/>
      <c r="Q370" s="22"/>
      <c r="R370" s="22"/>
      <c r="U370" s="71"/>
      <c r="V370" s="71"/>
      <c r="W370" s="22"/>
    </row>
    <row r="371" spans="5:23" x14ac:dyDescent="0.25">
      <c r="E371" s="2"/>
      <c r="F371" s="2"/>
      <c r="G371" s="2"/>
      <c r="H371" s="22"/>
      <c r="L371" s="2"/>
      <c r="M371" s="2"/>
      <c r="N371" s="2"/>
      <c r="O371" s="2"/>
      <c r="P371" s="2"/>
      <c r="Q371" s="22"/>
      <c r="R371" s="22"/>
      <c r="U371" s="71"/>
      <c r="V371" s="71"/>
      <c r="W371" s="22"/>
    </row>
    <row r="372" spans="5:23" x14ac:dyDescent="0.25">
      <c r="E372" s="2"/>
      <c r="F372" s="2"/>
      <c r="G372" s="2"/>
      <c r="H372" s="22"/>
      <c r="L372" s="2"/>
      <c r="M372" s="2"/>
      <c r="N372" s="2"/>
      <c r="O372" s="2"/>
      <c r="P372" s="2"/>
      <c r="Q372" s="22"/>
      <c r="R372" s="22"/>
      <c r="U372" s="71"/>
      <c r="V372" s="71"/>
      <c r="W372" s="22"/>
    </row>
    <row r="373" spans="5:23" x14ac:dyDescent="0.25">
      <c r="E373" s="2"/>
      <c r="F373" s="2"/>
      <c r="G373" s="2"/>
      <c r="H373" s="22"/>
      <c r="L373" s="2"/>
      <c r="M373" s="2"/>
      <c r="N373" s="2"/>
      <c r="O373" s="2"/>
      <c r="P373" s="2"/>
      <c r="Q373" s="22"/>
      <c r="R373" s="22"/>
      <c r="U373" s="71"/>
      <c r="V373" s="71"/>
      <c r="W373" s="22"/>
    </row>
    <row r="374" spans="5:23" x14ac:dyDescent="0.25">
      <c r="E374" s="2"/>
      <c r="F374" s="2"/>
      <c r="G374" s="2"/>
      <c r="H374" s="22"/>
      <c r="L374" s="2"/>
      <c r="M374" s="2"/>
      <c r="N374" s="2"/>
      <c r="O374" s="2"/>
      <c r="P374" s="2"/>
      <c r="Q374" s="22"/>
      <c r="R374" s="22"/>
      <c r="U374" s="71"/>
      <c r="V374" s="71"/>
      <c r="W374" s="22"/>
    </row>
    <row r="375" spans="5:23" x14ac:dyDescent="0.25">
      <c r="E375" s="2"/>
      <c r="F375" s="2"/>
      <c r="G375" s="2"/>
      <c r="H375" s="22"/>
      <c r="L375" s="2"/>
      <c r="M375" s="2"/>
      <c r="N375" s="2"/>
      <c r="O375" s="2"/>
      <c r="P375" s="2"/>
      <c r="Q375" s="22"/>
      <c r="R375" s="22"/>
      <c r="U375" s="71"/>
      <c r="V375" s="71"/>
      <c r="W375" s="22"/>
    </row>
    <row r="376" spans="5:23" x14ac:dyDescent="0.25">
      <c r="E376" s="2"/>
      <c r="F376" s="2"/>
      <c r="G376" s="2"/>
      <c r="H376" s="22"/>
      <c r="L376" s="2"/>
      <c r="M376" s="2"/>
      <c r="N376" s="2"/>
      <c r="O376" s="2"/>
      <c r="P376" s="2"/>
      <c r="Q376" s="22"/>
      <c r="R376" s="22"/>
      <c r="U376" s="71"/>
      <c r="V376" s="71"/>
      <c r="W376" s="22"/>
    </row>
    <row r="377" spans="5:23" x14ac:dyDescent="0.25">
      <c r="E377" s="2"/>
      <c r="F377" s="2"/>
      <c r="G377" s="2"/>
      <c r="H377" s="22"/>
      <c r="L377" s="2"/>
      <c r="M377" s="2"/>
      <c r="N377" s="2"/>
      <c r="O377" s="2"/>
      <c r="P377" s="2"/>
      <c r="Q377" s="22"/>
      <c r="R377" s="22"/>
      <c r="U377" s="71"/>
      <c r="V377" s="71"/>
      <c r="W377" s="22"/>
    </row>
    <row r="378" spans="5:23" x14ac:dyDescent="0.25">
      <c r="E378" s="2"/>
      <c r="F378" s="2"/>
      <c r="G378" s="2"/>
      <c r="H378" s="22"/>
      <c r="L378" s="2"/>
      <c r="M378" s="2"/>
      <c r="N378" s="2"/>
      <c r="O378" s="2"/>
      <c r="P378" s="2"/>
      <c r="Q378" s="22"/>
      <c r="R378" s="22"/>
      <c r="U378" s="71"/>
      <c r="V378" s="71"/>
      <c r="W378" s="22"/>
    </row>
    <row r="379" spans="5:23" x14ac:dyDescent="0.25">
      <c r="E379" s="2"/>
      <c r="F379" s="2"/>
      <c r="G379" s="2"/>
      <c r="H379" s="22"/>
      <c r="L379" s="2"/>
      <c r="M379" s="2"/>
      <c r="N379" s="2"/>
      <c r="O379" s="2"/>
      <c r="P379" s="2"/>
      <c r="Q379" s="22"/>
      <c r="R379" s="22"/>
      <c r="U379" s="71"/>
      <c r="V379" s="71"/>
      <c r="W379" s="22"/>
    </row>
    <row r="380" spans="5:23" x14ac:dyDescent="0.25">
      <c r="E380" s="2"/>
      <c r="F380" s="2"/>
      <c r="G380" s="2"/>
      <c r="H380" s="22"/>
      <c r="L380" s="2"/>
      <c r="M380" s="2"/>
      <c r="N380" s="2"/>
      <c r="O380" s="2"/>
      <c r="P380" s="2"/>
      <c r="Q380" s="22"/>
      <c r="R380" s="22"/>
      <c r="U380" s="71"/>
      <c r="V380" s="71"/>
      <c r="W380" s="22"/>
    </row>
    <row r="381" spans="5:23" x14ac:dyDescent="0.25">
      <c r="E381" s="2"/>
      <c r="F381" s="2"/>
      <c r="G381" s="2"/>
      <c r="H381" s="22"/>
      <c r="L381" s="2"/>
      <c r="M381" s="2"/>
      <c r="N381" s="2"/>
      <c r="O381" s="2"/>
      <c r="P381" s="2"/>
      <c r="Q381" s="22"/>
      <c r="R381" s="22"/>
      <c r="U381" s="71"/>
      <c r="V381" s="71"/>
      <c r="W381" s="22"/>
    </row>
    <row r="382" spans="5:23" x14ac:dyDescent="0.25">
      <c r="E382" s="2"/>
      <c r="F382" s="2"/>
      <c r="G382" s="2"/>
      <c r="H382" s="22"/>
      <c r="L382" s="2"/>
      <c r="M382" s="2"/>
      <c r="N382" s="2"/>
      <c r="O382" s="2"/>
      <c r="P382" s="2"/>
      <c r="Q382" s="22"/>
      <c r="R382" s="22"/>
      <c r="U382" s="71"/>
      <c r="V382" s="71"/>
      <c r="W382" s="22"/>
    </row>
    <row r="383" spans="5:23" x14ac:dyDescent="0.25">
      <c r="E383" s="2"/>
      <c r="F383" s="2"/>
      <c r="G383" s="2"/>
      <c r="H383" s="22"/>
      <c r="L383" s="2"/>
      <c r="M383" s="2"/>
      <c r="N383" s="2"/>
      <c r="O383" s="2"/>
      <c r="P383" s="2"/>
      <c r="Q383" s="22"/>
      <c r="R383" s="22"/>
      <c r="U383" s="71"/>
      <c r="V383" s="71"/>
      <c r="W383" s="22"/>
    </row>
    <row r="384" spans="5:23" x14ac:dyDescent="0.25">
      <c r="E384" s="2"/>
      <c r="F384" s="2"/>
      <c r="G384" s="2"/>
      <c r="H384" s="22"/>
      <c r="L384" s="2"/>
      <c r="M384" s="2"/>
      <c r="N384" s="2"/>
      <c r="O384" s="2"/>
      <c r="P384" s="2"/>
      <c r="Q384" s="22"/>
      <c r="R384" s="22"/>
      <c r="U384" s="71"/>
      <c r="V384" s="71"/>
      <c r="W384" s="22"/>
    </row>
    <row r="385" spans="5:23" x14ac:dyDescent="0.25">
      <c r="E385" s="2"/>
      <c r="F385" s="2"/>
      <c r="G385" s="2"/>
      <c r="H385" s="22"/>
      <c r="L385" s="2"/>
      <c r="M385" s="2"/>
      <c r="N385" s="2"/>
      <c r="O385" s="2"/>
      <c r="P385" s="2"/>
      <c r="Q385" s="22"/>
      <c r="R385" s="22"/>
      <c r="U385" s="71"/>
      <c r="V385" s="71"/>
      <c r="W385" s="22"/>
    </row>
    <row r="386" spans="5:23" x14ac:dyDescent="0.25">
      <c r="E386" s="2"/>
      <c r="F386" s="2"/>
      <c r="G386" s="2"/>
      <c r="H386" s="22"/>
      <c r="L386" s="2"/>
      <c r="M386" s="2"/>
      <c r="N386" s="2"/>
      <c r="O386" s="2"/>
      <c r="P386" s="2"/>
      <c r="Q386" s="22"/>
      <c r="R386" s="22"/>
      <c r="U386" s="71"/>
      <c r="V386" s="71"/>
      <c r="W386" s="22"/>
    </row>
    <row r="387" spans="5:23" x14ac:dyDescent="0.25">
      <c r="E387" s="2"/>
      <c r="F387" s="2"/>
      <c r="G387" s="2"/>
      <c r="H387" s="22"/>
      <c r="L387" s="2"/>
      <c r="M387" s="2"/>
      <c r="N387" s="2"/>
      <c r="O387" s="2"/>
      <c r="P387" s="2"/>
      <c r="Q387" s="22"/>
      <c r="R387" s="22"/>
      <c r="U387" s="71"/>
      <c r="V387" s="71"/>
      <c r="W387" s="22"/>
    </row>
    <row r="388" spans="5:23" x14ac:dyDescent="0.25">
      <c r="E388" s="2"/>
      <c r="F388" s="2"/>
      <c r="G388" s="2"/>
      <c r="H388" s="22"/>
      <c r="L388" s="2"/>
      <c r="M388" s="2"/>
      <c r="N388" s="2"/>
      <c r="O388" s="2"/>
      <c r="P388" s="2"/>
      <c r="Q388" s="22"/>
      <c r="R388" s="22"/>
      <c r="U388" s="71"/>
      <c r="V388" s="71"/>
      <c r="W388" s="22"/>
    </row>
    <row r="389" spans="5:23" x14ac:dyDescent="0.25">
      <c r="E389" s="2"/>
      <c r="F389" s="2"/>
      <c r="G389" s="2"/>
      <c r="H389" s="22"/>
      <c r="L389" s="2"/>
      <c r="M389" s="2"/>
      <c r="N389" s="2"/>
      <c r="O389" s="2"/>
      <c r="P389" s="2"/>
      <c r="Q389" s="22"/>
      <c r="R389" s="22"/>
      <c r="U389" s="71"/>
      <c r="V389" s="71"/>
      <c r="W389" s="22"/>
    </row>
    <row r="390" spans="5:23" x14ac:dyDescent="0.25">
      <c r="E390" s="2"/>
      <c r="F390" s="2"/>
      <c r="G390" s="2"/>
      <c r="H390" s="22"/>
      <c r="L390" s="2"/>
      <c r="M390" s="2"/>
      <c r="N390" s="2"/>
      <c r="O390" s="2"/>
      <c r="P390" s="2"/>
      <c r="Q390" s="22"/>
      <c r="R390" s="22"/>
      <c r="U390" s="71"/>
      <c r="V390" s="71"/>
      <c r="W390" s="22"/>
    </row>
    <row r="391" spans="5:23" x14ac:dyDescent="0.25">
      <c r="E391" s="2"/>
      <c r="F391" s="2"/>
      <c r="G391" s="2"/>
      <c r="H391" s="22"/>
      <c r="L391" s="2"/>
      <c r="M391" s="2"/>
      <c r="N391" s="2"/>
      <c r="O391" s="2"/>
      <c r="P391" s="2"/>
      <c r="Q391" s="22"/>
      <c r="R391" s="22"/>
      <c r="U391" s="71"/>
      <c r="V391" s="71"/>
      <c r="W391" s="22"/>
    </row>
    <row r="392" spans="5:23" x14ac:dyDescent="0.25">
      <c r="E392" s="2"/>
      <c r="F392" s="2"/>
      <c r="G392" s="2"/>
      <c r="H392" s="22"/>
      <c r="L392" s="2"/>
      <c r="M392" s="2"/>
      <c r="N392" s="2"/>
      <c r="O392" s="2"/>
      <c r="P392" s="2"/>
      <c r="Q392" s="22"/>
      <c r="R392" s="22"/>
      <c r="U392" s="71"/>
      <c r="V392" s="71"/>
      <c r="W392" s="22"/>
    </row>
    <row r="393" spans="5:23" x14ac:dyDescent="0.25">
      <c r="E393" s="2"/>
      <c r="F393" s="2"/>
      <c r="G393" s="2"/>
      <c r="H393" s="22"/>
      <c r="L393" s="2"/>
      <c r="M393" s="2"/>
      <c r="N393" s="2"/>
      <c r="O393" s="2"/>
      <c r="P393" s="2"/>
      <c r="Q393" s="22"/>
      <c r="R393" s="22"/>
      <c r="U393" s="71"/>
      <c r="V393" s="71"/>
      <c r="W393" s="22"/>
    </row>
    <row r="394" spans="5:23" x14ac:dyDescent="0.25">
      <c r="E394" s="2"/>
      <c r="F394" s="2"/>
      <c r="G394" s="2"/>
      <c r="H394" s="22"/>
      <c r="L394" s="2"/>
      <c r="M394" s="2"/>
      <c r="N394" s="2"/>
      <c r="O394" s="2"/>
      <c r="P394" s="2"/>
      <c r="Q394" s="22"/>
      <c r="R394" s="22"/>
      <c r="U394" s="71"/>
      <c r="V394" s="71"/>
      <c r="W394" s="22"/>
    </row>
    <row r="395" spans="5:23" x14ac:dyDescent="0.25">
      <c r="E395" s="2"/>
      <c r="F395" s="2"/>
      <c r="G395" s="2"/>
      <c r="H395" s="22"/>
      <c r="L395" s="2"/>
      <c r="M395" s="2"/>
      <c r="N395" s="2"/>
      <c r="O395" s="2"/>
      <c r="P395" s="2"/>
      <c r="Q395" s="22"/>
      <c r="R395" s="22"/>
      <c r="U395" s="71"/>
      <c r="V395" s="71"/>
      <c r="W395" s="22"/>
    </row>
    <row r="396" spans="5:23" x14ac:dyDescent="0.25">
      <c r="E396" s="2"/>
      <c r="F396" s="2"/>
      <c r="G396" s="2"/>
      <c r="H396" s="22"/>
      <c r="L396" s="2"/>
      <c r="M396" s="2"/>
      <c r="N396" s="2"/>
      <c r="O396" s="2"/>
      <c r="P396" s="2"/>
      <c r="Q396" s="22"/>
      <c r="R396" s="22"/>
      <c r="U396" s="71"/>
      <c r="V396" s="71"/>
      <c r="W396" s="22"/>
    </row>
    <row r="397" spans="5:23" x14ac:dyDescent="0.25">
      <c r="E397" s="2"/>
      <c r="F397" s="2"/>
      <c r="G397" s="2"/>
      <c r="H397" s="22"/>
      <c r="L397" s="2"/>
      <c r="M397" s="2"/>
      <c r="N397" s="2"/>
      <c r="O397" s="2"/>
      <c r="P397" s="2"/>
      <c r="Q397" s="22"/>
      <c r="R397" s="22"/>
      <c r="U397" s="71"/>
      <c r="V397" s="71"/>
      <c r="W397" s="22"/>
    </row>
    <row r="398" spans="5:23" x14ac:dyDescent="0.25">
      <c r="E398" s="2"/>
      <c r="F398" s="2"/>
      <c r="G398" s="2"/>
      <c r="H398" s="22"/>
      <c r="L398" s="2"/>
      <c r="M398" s="2"/>
      <c r="N398" s="2"/>
      <c r="O398" s="2"/>
      <c r="P398" s="2"/>
      <c r="Q398" s="22"/>
      <c r="R398" s="22"/>
      <c r="U398" s="71"/>
      <c r="V398" s="71"/>
      <c r="W398" s="22"/>
    </row>
    <row r="399" spans="5:23" x14ac:dyDescent="0.25">
      <c r="E399" s="2"/>
      <c r="F399" s="2"/>
      <c r="G399" s="2"/>
      <c r="H399" s="22"/>
      <c r="L399" s="2"/>
      <c r="M399" s="2"/>
      <c r="N399" s="2"/>
      <c r="O399" s="2"/>
      <c r="P399" s="2"/>
      <c r="Q399" s="22"/>
      <c r="R399" s="22"/>
      <c r="U399" s="71"/>
      <c r="V399" s="71"/>
      <c r="W399" s="22"/>
    </row>
    <row r="400" spans="5:23" x14ac:dyDescent="0.25">
      <c r="E400" s="2"/>
      <c r="F400" s="2"/>
      <c r="G400" s="2"/>
      <c r="H400" s="22"/>
      <c r="L400" s="2"/>
      <c r="M400" s="2"/>
      <c r="N400" s="2"/>
      <c r="O400" s="2"/>
      <c r="P400" s="2"/>
      <c r="Q400" s="22"/>
      <c r="R400" s="22"/>
      <c r="U400" s="71"/>
      <c r="V400" s="71"/>
      <c r="W400" s="22"/>
    </row>
    <row r="401" spans="5:23" x14ac:dyDescent="0.25">
      <c r="E401" s="2"/>
      <c r="F401" s="2"/>
      <c r="G401" s="2"/>
      <c r="H401" s="22"/>
      <c r="L401" s="2"/>
      <c r="M401" s="2"/>
      <c r="N401" s="2"/>
      <c r="O401" s="2"/>
      <c r="P401" s="2"/>
      <c r="Q401" s="22"/>
      <c r="R401" s="22"/>
      <c r="U401" s="71"/>
      <c r="V401" s="71"/>
      <c r="W401" s="22"/>
    </row>
    <row r="402" spans="5:23" x14ac:dyDescent="0.25">
      <c r="E402" s="2"/>
      <c r="F402" s="2"/>
      <c r="G402" s="2"/>
      <c r="H402" s="22"/>
      <c r="L402" s="2"/>
      <c r="M402" s="2"/>
      <c r="N402" s="2"/>
      <c r="O402" s="2"/>
      <c r="P402" s="2"/>
      <c r="Q402" s="22"/>
      <c r="R402" s="22"/>
      <c r="U402" s="71"/>
      <c r="V402" s="71"/>
      <c r="W402" s="22"/>
    </row>
    <row r="403" spans="5:23" x14ac:dyDescent="0.25">
      <c r="E403" s="2"/>
      <c r="F403" s="2"/>
      <c r="G403" s="2"/>
      <c r="H403" s="22"/>
      <c r="L403" s="2"/>
      <c r="M403" s="2"/>
      <c r="N403" s="2"/>
      <c r="O403" s="2"/>
      <c r="P403" s="2"/>
      <c r="Q403" s="22"/>
      <c r="R403" s="22"/>
      <c r="U403" s="71"/>
      <c r="V403" s="71"/>
      <c r="W403" s="22"/>
    </row>
    <row r="404" spans="5:23" x14ac:dyDescent="0.25">
      <c r="E404" s="2"/>
      <c r="F404" s="2"/>
      <c r="G404" s="2"/>
      <c r="H404" s="22"/>
      <c r="L404" s="2"/>
      <c r="M404" s="2"/>
      <c r="N404" s="2"/>
      <c r="O404" s="2"/>
      <c r="P404" s="2"/>
      <c r="Q404" s="22"/>
      <c r="R404" s="22"/>
      <c r="U404" s="71"/>
      <c r="V404" s="71"/>
      <c r="W404" s="22"/>
    </row>
    <row r="405" spans="5:23" x14ac:dyDescent="0.25">
      <c r="E405" s="2"/>
      <c r="F405" s="2"/>
      <c r="G405" s="2"/>
      <c r="H405" s="22"/>
      <c r="L405" s="2"/>
      <c r="M405" s="2"/>
      <c r="N405" s="2"/>
      <c r="O405" s="2"/>
      <c r="P405" s="2"/>
      <c r="Q405" s="22"/>
      <c r="R405" s="22"/>
      <c r="U405" s="71"/>
      <c r="V405" s="71"/>
      <c r="W405" s="22"/>
    </row>
    <row r="406" spans="5:23" x14ac:dyDescent="0.25">
      <c r="E406" s="2"/>
      <c r="F406" s="2"/>
      <c r="G406" s="2"/>
      <c r="H406" s="22"/>
      <c r="L406" s="2"/>
      <c r="M406" s="2"/>
      <c r="N406" s="2"/>
      <c r="O406" s="2"/>
      <c r="P406" s="2"/>
      <c r="Q406" s="22"/>
      <c r="R406" s="22"/>
      <c r="U406" s="71"/>
      <c r="V406" s="71"/>
      <c r="W406" s="22"/>
    </row>
    <row r="407" spans="5:23" x14ac:dyDescent="0.25">
      <c r="E407" s="2"/>
      <c r="F407" s="2"/>
      <c r="G407" s="2"/>
      <c r="H407" s="22"/>
      <c r="L407" s="2"/>
      <c r="M407" s="2"/>
      <c r="N407" s="2"/>
      <c r="O407" s="2"/>
      <c r="P407" s="2"/>
      <c r="Q407" s="22"/>
      <c r="R407" s="22"/>
      <c r="U407" s="71"/>
      <c r="V407" s="71"/>
      <c r="W407" s="22"/>
    </row>
    <row r="408" spans="5:23" x14ac:dyDescent="0.25">
      <c r="E408" s="2"/>
      <c r="F408" s="2"/>
      <c r="G408" s="2"/>
      <c r="H408" s="22"/>
      <c r="L408" s="2"/>
      <c r="M408" s="2"/>
      <c r="N408" s="2"/>
      <c r="O408" s="2"/>
      <c r="P408" s="2"/>
      <c r="Q408" s="22"/>
      <c r="R408" s="22"/>
      <c r="U408" s="71"/>
      <c r="V408" s="71"/>
      <c r="W408" s="22"/>
    </row>
    <row r="409" spans="5:23" x14ac:dyDescent="0.25">
      <c r="E409" s="2"/>
      <c r="F409" s="2"/>
      <c r="G409" s="2"/>
      <c r="H409" s="22"/>
      <c r="L409" s="2"/>
      <c r="M409" s="2"/>
      <c r="N409" s="2"/>
      <c r="O409" s="2"/>
      <c r="P409" s="2"/>
      <c r="Q409" s="22"/>
      <c r="R409" s="22"/>
      <c r="U409" s="71"/>
      <c r="V409" s="71"/>
      <c r="W409" s="22"/>
    </row>
    <row r="410" spans="5:23" x14ac:dyDescent="0.25">
      <c r="E410" s="2"/>
      <c r="F410" s="2"/>
      <c r="G410" s="2"/>
      <c r="H410" s="22"/>
      <c r="L410" s="2"/>
      <c r="M410" s="2"/>
      <c r="N410" s="2"/>
      <c r="O410" s="2"/>
      <c r="P410" s="2"/>
      <c r="Q410" s="22"/>
      <c r="R410" s="22"/>
      <c r="U410" s="71"/>
      <c r="V410" s="71"/>
      <c r="W410" s="22"/>
    </row>
    <row r="411" spans="5:23" x14ac:dyDescent="0.25">
      <c r="E411" s="2"/>
      <c r="F411" s="2"/>
      <c r="G411" s="2"/>
      <c r="H411" s="22"/>
      <c r="L411" s="2"/>
      <c r="M411" s="2"/>
      <c r="N411" s="2"/>
      <c r="O411" s="2"/>
      <c r="P411" s="2"/>
      <c r="Q411" s="22"/>
      <c r="R411" s="22"/>
      <c r="U411" s="71"/>
      <c r="V411" s="71"/>
      <c r="W411" s="22"/>
    </row>
    <row r="412" spans="5:23" x14ac:dyDescent="0.25">
      <c r="E412" s="2"/>
      <c r="F412" s="2"/>
      <c r="G412" s="2"/>
      <c r="H412" s="22"/>
      <c r="L412" s="2"/>
      <c r="M412" s="2"/>
      <c r="N412" s="2"/>
      <c r="O412" s="2"/>
      <c r="P412" s="2"/>
      <c r="Q412" s="22"/>
      <c r="R412" s="22"/>
      <c r="U412" s="71"/>
      <c r="V412" s="71"/>
      <c r="W412" s="22"/>
    </row>
    <row r="413" spans="5:23" x14ac:dyDescent="0.25">
      <c r="E413" s="2"/>
      <c r="F413" s="2"/>
      <c r="G413" s="2"/>
      <c r="H413" s="22"/>
      <c r="L413" s="2"/>
      <c r="M413" s="2"/>
      <c r="N413" s="2"/>
      <c r="O413" s="2"/>
      <c r="P413" s="2"/>
      <c r="Q413" s="22"/>
      <c r="R413" s="22"/>
      <c r="U413" s="71"/>
      <c r="V413" s="71"/>
      <c r="W413" s="22"/>
    </row>
    <row r="414" spans="5:23" x14ac:dyDescent="0.25">
      <c r="E414" s="2"/>
      <c r="F414" s="2"/>
      <c r="G414" s="2"/>
      <c r="H414" s="22"/>
      <c r="L414" s="2"/>
      <c r="M414" s="2"/>
      <c r="N414" s="2"/>
      <c r="O414" s="2"/>
      <c r="P414" s="2"/>
      <c r="Q414" s="22"/>
      <c r="R414" s="22"/>
      <c r="U414" s="71"/>
      <c r="V414" s="71"/>
      <c r="W414" s="22"/>
    </row>
    <row r="415" spans="5:23" x14ac:dyDescent="0.25">
      <c r="E415" s="2"/>
      <c r="F415" s="2"/>
      <c r="G415" s="2"/>
      <c r="H415" s="22"/>
      <c r="L415" s="2"/>
      <c r="M415" s="2"/>
      <c r="N415" s="2"/>
      <c r="O415" s="2"/>
      <c r="P415" s="2"/>
      <c r="Q415" s="22"/>
      <c r="R415" s="22"/>
      <c r="U415" s="71"/>
      <c r="V415" s="71"/>
      <c r="W415" s="22"/>
    </row>
    <row r="416" spans="5:23" x14ac:dyDescent="0.25">
      <c r="E416" s="2"/>
      <c r="F416" s="2"/>
      <c r="G416" s="2"/>
      <c r="H416" s="22"/>
      <c r="L416" s="2"/>
      <c r="M416" s="2"/>
      <c r="N416" s="2"/>
      <c r="O416" s="2"/>
      <c r="P416" s="2"/>
      <c r="Q416" s="22"/>
      <c r="R416" s="22"/>
      <c r="U416" s="71"/>
      <c r="V416" s="71"/>
      <c r="W416" s="22"/>
    </row>
    <row r="417" spans="5:23" x14ac:dyDescent="0.25">
      <c r="E417" s="2"/>
      <c r="F417" s="2"/>
      <c r="G417" s="2"/>
      <c r="H417" s="22"/>
      <c r="L417" s="2"/>
      <c r="M417" s="2"/>
      <c r="N417" s="2"/>
      <c r="O417" s="2"/>
      <c r="P417" s="2"/>
      <c r="Q417" s="22"/>
      <c r="R417" s="22"/>
      <c r="U417" s="71"/>
      <c r="V417" s="71"/>
      <c r="W417" s="22"/>
    </row>
    <row r="418" spans="5:23" x14ac:dyDescent="0.25">
      <c r="E418" s="2"/>
      <c r="F418" s="2"/>
      <c r="G418" s="2"/>
      <c r="H418" s="22"/>
      <c r="L418" s="2"/>
      <c r="M418" s="2"/>
      <c r="N418" s="2"/>
      <c r="O418" s="2"/>
      <c r="P418" s="2"/>
      <c r="Q418" s="22"/>
      <c r="R418" s="22"/>
      <c r="U418" s="71"/>
      <c r="V418" s="71"/>
      <c r="W418" s="22"/>
    </row>
    <row r="419" spans="5:23" x14ac:dyDescent="0.25">
      <c r="E419" s="2"/>
      <c r="F419" s="2"/>
      <c r="G419" s="2"/>
      <c r="H419" s="22"/>
      <c r="L419" s="2"/>
      <c r="M419" s="2"/>
      <c r="N419" s="2"/>
      <c r="O419" s="2"/>
      <c r="P419" s="2"/>
      <c r="Q419" s="22"/>
      <c r="R419" s="22"/>
      <c r="U419" s="71"/>
      <c r="V419" s="71"/>
      <c r="W419" s="22"/>
    </row>
    <row r="420" spans="5:23" x14ac:dyDescent="0.25">
      <c r="E420" s="2"/>
      <c r="F420" s="2"/>
      <c r="G420" s="2"/>
      <c r="H420" s="22"/>
      <c r="L420" s="2"/>
      <c r="M420" s="2"/>
      <c r="N420" s="2"/>
      <c r="O420" s="2"/>
      <c r="P420" s="2"/>
      <c r="Q420" s="22"/>
      <c r="R420" s="22"/>
      <c r="U420" s="71"/>
      <c r="V420" s="71"/>
      <c r="W420" s="22"/>
    </row>
    <row r="421" spans="5:23" x14ac:dyDescent="0.25">
      <c r="E421" s="2"/>
      <c r="F421" s="2"/>
      <c r="G421" s="2"/>
      <c r="H421" s="22"/>
      <c r="L421" s="2"/>
      <c r="M421" s="2"/>
      <c r="N421" s="2"/>
      <c r="O421" s="2"/>
      <c r="P421" s="2"/>
      <c r="Q421" s="22"/>
      <c r="R421" s="22"/>
      <c r="U421" s="71"/>
      <c r="V421" s="71"/>
      <c r="W421" s="22"/>
    </row>
    <row r="422" spans="5:23" x14ac:dyDescent="0.25">
      <c r="E422" s="2"/>
      <c r="F422" s="2"/>
      <c r="G422" s="2"/>
      <c r="H422" s="22"/>
      <c r="L422" s="2"/>
      <c r="M422" s="2"/>
      <c r="N422" s="2"/>
      <c r="O422" s="2"/>
      <c r="P422" s="2"/>
      <c r="Q422" s="22"/>
      <c r="R422" s="22"/>
      <c r="U422" s="71"/>
      <c r="V422" s="71"/>
      <c r="W422" s="22"/>
    </row>
    <row r="423" spans="5:23" x14ac:dyDescent="0.25">
      <c r="E423" s="2"/>
      <c r="F423" s="2"/>
      <c r="G423" s="2"/>
      <c r="H423" s="22"/>
      <c r="L423" s="2"/>
      <c r="M423" s="2"/>
      <c r="N423" s="2"/>
      <c r="O423" s="2"/>
      <c r="P423" s="2"/>
      <c r="Q423" s="22"/>
      <c r="R423" s="22"/>
      <c r="U423" s="71"/>
      <c r="V423" s="71"/>
      <c r="W423" s="22"/>
    </row>
    <row r="424" spans="5:23" x14ac:dyDescent="0.25">
      <c r="E424" s="2"/>
      <c r="F424" s="2"/>
      <c r="G424" s="2"/>
      <c r="H424" s="22"/>
      <c r="L424" s="2"/>
      <c r="M424" s="2"/>
      <c r="N424" s="2"/>
      <c r="O424" s="2"/>
      <c r="P424" s="2"/>
      <c r="Q424" s="22"/>
      <c r="R424" s="22"/>
      <c r="U424" s="71"/>
      <c r="V424" s="71"/>
      <c r="W424" s="22"/>
    </row>
    <row r="425" spans="5:23" x14ac:dyDescent="0.25">
      <c r="E425" s="2"/>
      <c r="F425" s="2"/>
      <c r="G425" s="2"/>
      <c r="H425" s="22"/>
      <c r="L425" s="2"/>
      <c r="M425" s="2"/>
      <c r="N425" s="2"/>
      <c r="O425" s="2"/>
      <c r="P425" s="2"/>
      <c r="Q425" s="22"/>
      <c r="R425" s="22"/>
      <c r="U425" s="71"/>
      <c r="V425" s="71"/>
      <c r="W425" s="22"/>
    </row>
    <row r="426" spans="5:23" x14ac:dyDescent="0.25">
      <c r="E426" s="2"/>
      <c r="F426" s="2"/>
      <c r="G426" s="2"/>
      <c r="H426" s="22"/>
      <c r="L426" s="2"/>
      <c r="M426" s="2"/>
      <c r="N426" s="2"/>
      <c r="O426" s="2"/>
      <c r="P426" s="2"/>
      <c r="Q426" s="22"/>
      <c r="R426" s="22"/>
      <c r="U426" s="71"/>
      <c r="V426" s="71"/>
      <c r="W426" s="22"/>
    </row>
    <row r="427" spans="5:23" x14ac:dyDescent="0.25">
      <c r="E427" s="2"/>
      <c r="F427" s="2"/>
      <c r="G427" s="2"/>
      <c r="H427" s="22"/>
      <c r="L427" s="2"/>
      <c r="M427" s="2"/>
      <c r="N427" s="2"/>
      <c r="O427" s="2"/>
      <c r="P427" s="2"/>
      <c r="Q427" s="22"/>
      <c r="R427" s="22"/>
      <c r="U427" s="71"/>
      <c r="V427" s="71"/>
      <c r="W427" s="22"/>
    </row>
    <row r="428" spans="5:23" x14ac:dyDescent="0.25">
      <c r="E428" s="2"/>
      <c r="F428" s="2"/>
      <c r="G428" s="2"/>
      <c r="H428" s="22"/>
      <c r="L428" s="2"/>
      <c r="M428" s="2"/>
      <c r="N428" s="2"/>
      <c r="O428" s="2"/>
      <c r="P428" s="2"/>
      <c r="Q428" s="22"/>
      <c r="R428" s="22"/>
      <c r="U428" s="71"/>
      <c r="V428" s="71"/>
      <c r="W428" s="22"/>
    </row>
    <row r="429" spans="5:23" x14ac:dyDescent="0.25">
      <c r="E429" s="2"/>
      <c r="F429" s="2"/>
      <c r="G429" s="2"/>
      <c r="H429" s="22"/>
      <c r="L429" s="2"/>
      <c r="M429" s="2"/>
      <c r="N429" s="2"/>
      <c r="O429" s="2"/>
      <c r="P429" s="2"/>
      <c r="Q429" s="22"/>
      <c r="R429" s="22"/>
      <c r="U429" s="71"/>
      <c r="V429" s="71"/>
      <c r="W429" s="22"/>
    </row>
    <row r="430" spans="5:23" x14ac:dyDescent="0.25">
      <c r="E430" s="2"/>
      <c r="F430" s="2"/>
      <c r="G430" s="2"/>
      <c r="H430" s="22"/>
      <c r="L430" s="2"/>
      <c r="M430" s="2"/>
      <c r="N430" s="2"/>
      <c r="O430" s="2"/>
      <c r="P430" s="2"/>
      <c r="Q430" s="22"/>
      <c r="R430" s="22"/>
      <c r="U430" s="71"/>
      <c r="V430" s="71"/>
      <c r="W430" s="22"/>
    </row>
    <row r="431" spans="5:23" x14ac:dyDescent="0.25">
      <c r="E431" s="2"/>
      <c r="F431" s="2"/>
      <c r="G431" s="2"/>
      <c r="H431" s="22"/>
      <c r="L431" s="2"/>
      <c r="M431" s="2"/>
      <c r="N431" s="2"/>
      <c r="O431" s="2"/>
      <c r="P431" s="2"/>
      <c r="Q431" s="22"/>
      <c r="R431" s="22"/>
      <c r="U431" s="71"/>
      <c r="V431" s="71"/>
      <c r="W431" s="22"/>
    </row>
    <row r="432" spans="5:23" x14ac:dyDescent="0.25">
      <c r="E432" s="2"/>
      <c r="F432" s="2"/>
      <c r="G432" s="2"/>
      <c r="H432" s="22"/>
      <c r="L432" s="2"/>
      <c r="M432" s="2"/>
      <c r="N432" s="2"/>
      <c r="O432" s="2"/>
      <c r="P432" s="2"/>
      <c r="Q432" s="22"/>
      <c r="R432" s="22"/>
      <c r="U432" s="71"/>
      <c r="V432" s="71"/>
      <c r="W432" s="22"/>
    </row>
    <row r="433" spans="5:23" x14ac:dyDescent="0.25">
      <c r="E433" s="2"/>
      <c r="F433" s="2"/>
      <c r="G433" s="2"/>
      <c r="H433" s="22"/>
      <c r="L433" s="2"/>
      <c r="M433" s="2"/>
      <c r="N433" s="2"/>
      <c r="O433" s="2"/>
      <c r="P433" s="2"/>
      <c r="Q433" s="22"/>
      <c r="R433" s="22"/>
      <c r="U433" s="71"/>
      <c r="V433" s="71"/>
      <c r="W433" s="22"/>
    </row>
    <row r="434" spans="5:23" x14ac:dyDescent="0.25">
      <c r="E434" s="2"/>
      <c r="F434" s="2"/>
      <c r="G434" s="2"/>
      <c r="H434" s="22"/>
      <c r="L434" s="2"/>
      <c r="M434" s="2"/>
      <c r="N434" s="2"/>
      <c r="O434" s="2"/>
      <c r="P434" s="2"/>
      <c r="Q434" s="22"/>
      <c r="R434" s="22"/>
      <c r="U434" s="71"/>
      <c r="V434" s="71"/>
      <c r="W434" s="22"/>
    </row>
    <row r="435" spans="5:23" x14ac:dyDescent="0.25">
      <c r="E435" s="2"/>
      <c r="F435" s="2"/>
      <c r="G435" s="2"/>
      <c r="H435" s="22"/>
      <c r="L435" s="2"/>
      <c r="M435" s="2"/>
      <c r="N435" s="2"/>
      <c r="O435" s="2"/>
      <c r="P435" s="2"/>
      <c r="Q435" s="22"/>
      <c r="R435" s="22"/>
      <c r="U435" s="71"/>
      <c r="V435" s="71"/>
      <c r="W435" s="22"/>
    </row>
    <row r="436" spans="5:23" x14ac:dyDescent="0.25">
      <c r="E436" s="2"/>
      <c r="F436" s="2"/>
      <c r="G436" s="2"/>
      <c r="H436" s="22"/>
      <c r="L436" s="2"/>
      <c r="M436" s="2"/>
      <c r="N436" s="2"/>
      <c r="O436" s="2"/>
      <c r="P436" s="2"/>
      <c r="Q436" s="22"/>
      <c r="R436" s="22"/>
      <c r="U436" s="71"/>
      <c r="V436" s="71"/>
      <c r="W436" s="22"/>
    </row>
    <row r="437" spans="5:23" x14ac:dyDescent="0.25">
      <c r="E437" s="2"/>
      <c r="F437" s="2"/>
      <c r="G437" s="2"/>
      <c r="H437" s="22"/>
      <c r="L437" s="2"/>
      <c r="M437" s="2"/>
      <c r="N437" s="2"/>
      <c r="O437" s="2"/>
      <c r="P437" s="2"/>
      <c r="Q437" s="22"/>
      <c r="R437" s="22"/>
      <c r="U437" s="71"/>
      <c r="V437" s="71"/>
      <c r="W437" s="22"/>
    </row>
    <row r="438" spans="5:23" x14ac:dyDescent="0.25">
      <c r="E438" s="2"/>
      <c r="F438" s="2"/>
      <c r="G438" s="2"/>
      <c r="H438" s="22"/>
      <c r="L438" s="2"/>
      <c r="M438" s="2"/>
      <c r="N438" s="2"/>
      <c r="O438" s="2"/>
      <c r="P438" s="2"/>
      <c r="Q438" s="22"/>
      <c r="R438" s="22"/>
      <c r="U438" s="71"/>
      <c r="V438" s="71"/>
      <c r="W438" s="22"/>
    </row>
    <row r="439" spans="5:23" x14ac:dyDescent="0.25">
      <c r="E439" s="2"/>
      <c r="F439" s="2"/>
      <c r="G439" s="2"/>
      <c r="H439" s="22"/>
      <c r="L439" s="2"/>
      <c r="M439" s="2"/>
      <c r="N439" s="2"/>
      <c r="O439" s="2"/>
      <c r="P439" s="2"/>
      <c r="Q439" s="22"/>
      <c r="R439" s="22"/>
      <c r="U439" s="71"/>
      <c r="V439" s="71"/>
      <c r="W439" s="22"/>
    </row>
    <row r="440" spans="5:23" x14ac:dyDescent="0.25">
      <c r="E440" s="2"/>
      <c r="F440" s="2"/>
      <c r="G440" s="2"/>
      <c r="H440" s="22"/>
      <c r="L440" s="2"/>
      <c r="M440" s="2"/>
      <c r="N440" s="2"/>
      <c r="O440" s="2"/>
      <c r="P440" s="2"/>
      <c r="Q440" s="22"/>
      <c r="R440" s="22"/>
      <c r="U440" s="71"/>
      <c r="V440" s="71"/>
      <c r="W440" s="22"/>
    </row>
    <row r="441" spans="5:23" x14ac:dyDescent="0.25">
      <c r="E441" s="2"/>
      <c r="F441" s="2"/>
      <c r="G441" s="2"/>
      <c r="H441" s="22"/>
      <c r="L441" s="2"/>
      <c r="M441" s="2"/>
      <c r="N441" s="2"/>
      <c r="O441" s="2"/>
      <c r="P441" s="2"/>
      <c r="Q441" s="22"/>
      <c r="R441" s="22"/>
      <c r="U441" s="71"/>
      <c r="V441" s="71"/>
      <c r="W441" s="22"/>
    </row>
    <row r="442" spans="5:23" x14ac:dyDescent="0.25">
      <c r="E442" s="2"/>
      <c r="F442" s="2"/>
      <c r="G442" s="2"/>
      <c r="H442" s="22"/>
      <c r="L442" s="2"/>
      <c r="M442" s="2"/>
      <c r="N442" s="2"/>
      <c r="O442" s="2"/>
      <c r="P442" s="2"/>
      <c r="Q442" s="22"/>
      <c r="R442" s="22"/>
      <c r="U442" s="71"/>
      <c r="V442" s="71"/>
      <c r="W442" s="22"/>
    </row>
    <row r="443" spans="5:23" x14ac:dyDescent="0.25">
      <c r="E443" s="2"/>
      <c r="F443" s="2"/>
      <c r="G443" s="2"/>
      <c r="H443" s="22"/>
      <c r="L443" s="2"/>
      <c r="M443" s="2"/>
      <c r="N443" s="2"/>
      <c r="O443" s="2"/>
      <c r="P443" s="2"/>
      <c r="Q443" s="22"/>
      <c r="R443" s="22"/>
      <c r="U443" s="71"/>
      <c r="V443" s="71"/>
      <c r="W443" s="22"/>
    </row>
    <row r="444" spans="5:23" x14ac:dyDescent="0.25">
      <c r="E444" s="2"/>
      <c r="F444" s="2"/>
      <c r="G444" s="2"/>
      <c r="H444" s="22"/>
      <c r="L444" s="2"/>
      <c r="M444" s="2"/>
      <c r="N444" s="2"/>
      <c r="O444" s="2"/>
      <c r="P444" s="2"/>
      <c r="Q444" s="22"/>
      <c r="R444" s="22"/>
      <c r="U444" s="71"/>
      <c r="V444" s="71"/>
      <c r="W444" s="22"/>
    </row>
    <row r="445" spans="5:23" x14ac:dyDescent="0.25">
      <c r="E445" s="2"/>
      <c r="F445" s="2"/>
      <c r="G445" s="2"/>
      <c r="H445" s="22"/>
      <c r="L445" s="2"/>
      <c r="M445" s="2"/>
      <c r="N445" s="2"/>
      <c r="O445" s="2"/>
      <c r="P445" s="2"/>
      <c r="Q445" s="22"/>
      <c r="R445" s="22"/>
      <c r="U445" s="71"/>
      <c r="V445" s="71"/>
      <c r="W445" s="22"/>
    </row>
    <row r="446" spans="5:23" x14ac:dyDescent="0.25">
      <c r="E446" s="2"/>
      <c r="F446" s="2"/>
      <c r="G446" s="2"/>
      <c r="H446" s="22"/>
      <c r="L446" s="2"/>
      <c r="M446" s="2"/>
      <c r="N446" s="2"/>
      <c r="O446" s="2"/>
      <c r="P446" s="2"/>
      <c r="Q446" s="22"/>
      <c r="R446" s="22"/>
      <c r="U446" s="71"/>
      <c r="V446" s="71"/>
      <c r="W446" s="22"/>
    </row>
    <row r="447" spans="5:23" x14ac:dyDescent="0.25">
      <c r="E447" s="2"/>
      <c r="F447" s="2"/>
      <c r="G447" s="2"/>
      <c r="H447" s="22"/>
      <c r="L447" s="2"/>
      <c r="M447" s="2"/>
      <c r="N447" s="2"/>
      <c r="O447" s="2"/>
      <c r="P447" s="2"/>
      <c r="Q447" s="22"/>
      <c r="R447" s="22"/>
      <c r="U447" s="71"/>
      <c r="V447" s="71"/>
      <c r="W447" s="22"/>
    </row>
    <row r="448" spans="5:23" x14ac:dyDescent="0.25">
      <c r="E448" s="2"/>
      <c r="F448" s="2"/>
      <c r="G448" s="2"/>
      <c r="H448" s="22"/>
      <c r="L448" s="2"/>
      <c r="M448" s="2"/>
      <c r="N448" s="2"/>
      <c r="O448" s="2"/>
      <c r="P448" s="2"/>
      <c r="Q448" s="22"/>
      <c r="R448" s="22"/>
      <c r="U448" s="71"/>
      <c r="V448" s="71"/>
      <c r="W448" s="22"/>
    </row>
    <row r="449" spans="5:23" x14ac:dyDescent="0.25">
      <c r="E449" s="2"/>
      <c r="F449" s="2"/>
      <c r="G449" s="2"/>
      <c r="H449" s="22"/>
      <c r="L449" s="2"/>
      <c r="M449" s="2"/>
      <c r="N449" s="2"/>
      <c r="O449" s="2"/>
      <c r="P449" s="2"/>
      <c r="Q449" s="22"/>
      <c r="R449" s="22"/>
      <c r="U449" s="71"/>
      <c r="V449" s="71"/>
      <c r="W449" s="22"/>
    </row>
    <row r="450" spans="5:23" x14ac:dyDescent="0.25">
      <c r="E450" s="2"/>
      <c r="F450" s="2"/>
      <c r="G450" s="2"/>
      <c r="H450" s="22"/>
      <c r="L450" s="2"/>
      <c r="M450" s="2"/>
      <c r="N450" s="2"/>
      <c r="O450" s="2"/>
      <c r="P450" s="2"/>
      <c r="Q450" s="22"/>
      <c r="R450" s="22"/>
      <c r="U450" s="71"/>
      <c r="V450" s="71"/>
      <c r="W450" s="22"/>
    </row>
    <row r="451" spans="5:23" x14ac:dyDescent="0.25">
      <c r="E451" s="2"/>
      <c r="F451" s="2"/>
      <c r="G451" s="2"/>
      <c r="H451" s="22"/>
      <c r="L451" s="2"/>
      <c r="M451" s="2"/>
      <c r="N451" s="2"/>
      <c r="O451" s="2"/>
      <c r="P451" s="2"/>
      <c r="Q451" s="22"/>
      <c r="R451" s="22"/>
      <c r="U451" s="71"/>
      <c r="V451" s="71"/>
      <c r="W451" s="22"/>
    </row>
    <row r="452" spans="5:23" x14ac:dyDescent="0.25">
      <c r="E452" s="2"/>
      <c r="F452" s="2"/>
      <c r="G452" s="2"/>
      <c r="H452" s="22"/>
      <c r="L452" s="2"/>
      <c r="M452" s="2"/>
      <c r="N452" s="2"/>
      <c r="O452" s="2"/>
      <c r="P452" s="2"/>
      <c r="Q452" s="22"/>
      <c r="R452" s="22"/>
      <c r="U452" s="71"/>
      <c r="V452" s="71"/>
      <c r="W452" s="22"/>
    </row>
    <row r="453" spans="5:23" x14ac:dyDescent="0.25">
      <c r="E453" s="2"/>
      <c r="F453" s="2"/>
      <c r="G453" s="2"/>
      <c r="H453" s="22"/>
      <c r="L453" s="2"/>
      <c r="M453" s="2"/>
      <c r="N453" s="2"/>
      <c r="O453" s="2"/>
      <c r="P453" s="2"/>
      <c r="Q453" s="22"/>
      <c r="R453" s="22"/>
      <c r="U453" s="71"/>
      <c r="V453" s="71"/>
      <c r="W453" s="22"/>
    </row>
    <row r="454" spans="5:23" x14ac:dyDescent="0.25">
      <c r="E454" s="2"/>
      <c r="F454" s="2"/>
      <c r="G454" s="2"/>
      <c r="H454" s="22"/>
      <c r="L454" s="2"/>
      <c r="M454" s="2"/>
      <c r="N454" s="2"/>
      <c r="O454" s="2"/>
      <c r="P454" s="2"/>
      <c r="Q454" s="22"/>
      <c r="R454" s="22"/>
      <c r="U454" s="71"/>
      <c r="V454" s="71"/>
      <c r="W454" s="22"/>
    </row>
    <row r="455" spans="5:23" x14ac:dyDescent="0.25">
      <c r="E455" s="2"/>
      <c r="F455" s="2"/>
      <c r="G455" s="2"/>
      <c r="H455" s="22"/>
      <c r="L455" s="2"/>
      <c r="M455" s="2"/>
      <c r="N455" s="2"/>
      <c r="O455" s="2"/>
      <c r="P455" s="2"/>
      <c r="Q455" s="22"/>
      <c r="R455" s="22"/>
      <c r="U455" s="71"/>
      <c r="V455" s="71"/>
      <c r="W455" s="22"/>
    </row>
    <row r="456" spans="5:23" x14ac:dyDescent="0.25">
      <c r="E456" s="2"/>
      <c r="F456" s="2"/>
      <c r="G456" s="2"/>
      <c r="H456" s="22"/>
      <c r="L456" s="2"/>
      <c r="M456" s="2"/>
      <c r="N456" s="2"/>
      <c r="O456" s="2"/>
      <c r="P456" s="2"/>
      <c r="Q456" s="22"/>
      <c r="R456" s="22"/>
      <c r="U456" s="71"/>
      <c r="V456" s="71"/>
      <c r="W456" s="22"/>
    </row>
    <row r="457" spans="5:23" x14ac:dyDescent="0.25">
      <c r="E457" s="2"/>
      <c r="F457" s="2"/>
      <c r="G457" s="2"/>
      <c r="H457" s="22"/>
      <c r="L457" s="2"/>
      <c r="M457" s="2"/>
      <c r="N457" s="2"/>
      <c r="O457" s="2"/>
      <c r="P457" s="2"/>
      <c r="Q457" s="22"/>
      <c r="R457" s="22"/>
      <c r="U457" s="71"/>
      <c r="V457" s="71"/>
      <c r="W457" s="22"/>
    </row>
    <row r="458" spans="5:23" x14ac:dyDescent="0.25">
      <c r="E458" s="2"/>
      <c r="F458" s="2"/>
      <c r="G458" s="2"/>
      <c r="H458" s="22"/>
      <c r="L458" s="2"/>
      <c r="M458" s="2"/>
      <c r="N458" s="2"/>
      <c r="O458" s="2"/>
      <c r="P458" s="2"/>
      <c r="Q458" s="22"/>
      <c r="R458" s="22"/>
      <c r="U458" s="71"/>
      <c r="V458" s="71"/>
      <c r="W458" s="22"/>
    </row>
    <row r="459" spans="5:23" x14ac:dyDescent="0.25">
      <c r="E459" s="2"/>
      <c r="F459" s="2"/>
      <c r="G459" s="2"/>
      <c r="H459" s="22"/>
      <c r="L459" s="2"/>
      <c r="M459" s="2"/>
      <c r="N459" s="2"/>
      <c r="O459" s="2"/>
      <c r="P459" s="2"/>
      <c r="Q459" s="22"/>
      <c r="R459" s="22"/>
      <c r="U459" s="71"/>
      <c r="V459" s="71"/>
      <c r="W459" s="22"/>
    </row>
    <row r="460" spans="5:23" x14ac:dyDescent="0.25">
      <c r="E460" s="2"/>
      <c r="F460" s="2"/>
      <c r="G460" s="2"/>
      <c r="H460" s="22"/>
      <c r="L460" s="2"/>
      <c r="M460" s="2"/>
      <c r="N460" s="2"/>
      <c r="O460" s="2"/>
      <c r="P460" s="2"/>
      <c r="Q460" s="22"/>
      <c r="R460" s="22"/>
      <c r="U460" s="71"/>
      <c r="V460" s="71"/>
      <c r="W460" s="22"/>
    </row>
    <row r="461" spans="5:23" x14ac:dyDescent="0.25">
      <c r="E461" s="2"/>
      <c r="F461" s="2"/>
      <c r="G461" s="2"/>
      <c r="H461" s="22"/>
      <c r="L461" s="2"/>
      <c r="M461" s="2"/>
      <c r="N461" s="2"/>
      <c r="O461" s="2"/>
      <c r="P461" s="2"/>
      <c r="Q461" s="22"/>
      <c r="R461" s="22"/>
      <c r="U461" s="71"/>
      <c r="V461" s="71"/>
      <c r="W461" s="22"/>
    </row>
    <row r="462" spans="5:23" x14ac:dyDescent="0.25">
      <c r="E462" s="2"/>
      <c r="F462" s="2"/>
      <c r="G462" s="2"/>
      <c r="H462" s="22"/>
      <c r="L462" s="2"/>
      <c r="M462" s="2"/>
      <c r="N462" s="2"/>
      <c r="O462" s="2"/>
      <c r="P462" s="2"/>
      <c r="Q462" s="22"/>
      <c r="R462" s="22"/>
      <c r="U462" s="71"/>
      <c r="V462" s="71"/>
      <c r="W462" s="22"/>
    </row>
    <row r="463" spans="5:23" x14ac:dyDescent="0.25">
      <c r="E463" s="2"/>
      <c r="F463" s="2"/>
      <c r="G463" s="2"/>
      <c r="H463" s="22"/>
      <c r="L463" s="2"/>
      <c r="M463" s="2"/>
      <c r="N463" s="2"/>
      <c r="O463" s="2"/>
      <c r="P463" s="2"/>
      <c r="Q463" s="22"/>
      <c r="R463" s="22"/>
      <c r="U463" s="71"/>
      <c r="V463" s="71"/>
      <c r="W463" s="22"/>
    </row>
    <row r="464" spans="5:23" x14ac:dyDescent="0.25">
      <c r="E464" s="2"/>
      <c r="F464" s="2"/>
      <c r="G464" s="2"/>
      <c r="H464" s="22"/>
      <c r="L464" s="2"/>
      <c r="M464" s="2"/>
      <c r="N464" s="2"/>
      <c r="O464" s="2"/>
      <c r="P464" s="2"/>
      <c r="Q464" s="22"/>
      <c r="R464" s="22"/>
      <c r="U464" s="71"/>
      <c r="V464" s="71"/>
      <c r="W464" s="22"/>
    </row>
    <row r="465" spans="5:23" x14ac:dyDescent="0.25">
      <c r="E465" s="2"/>
      <c r="F465" s="2"/>
      <c r="G465" s="2"/>
      <c r="H465" s="22"/>
      <c r="L465" s="2"/>
      <c r="M465" s="2"/>
      <c r="N465" s="2"/>
      <c r="O465" s="2"/>
      <c r="P465" s="2"/>
      <c r="Q465" s="22"/>
      <c r="R465" s="22"/>
      <c r="U465" s="71"/>
      <c r="V465" s="71"/>
      <c r="W465" s="22"/>
    </row>
    <row r="466" spans="5:23" x14ac:dyDescent="0.25">
      <c r="E466" s="2"/>
      <c r="F466" s="2"/>
      <c r="G466" s="2"/>
      <c r="H466" s="22"/>
      <c r="L466" s="2"/>
      <c r="M466" s="2"/>
      <c r="N466" s="2"/>
      <c r="O466" s="2"/>
      <c r="P466" s="2"/>
      <c r="Q466" s="22"/>
      <c r="R466" s="22"/>
      <c r="U466" s="71"/>
      <c r="V466" s="71"/>
      <c r="W466" s="22"/>
    </row>
    <row r="467" spans="5:23" x14ac:dyDescent="0.25">
      <c r="E467" s="2"/>
      <c r="F467" s="2"/>
      <c r="G467" s="2"/>
      <c r="H467" s="22"/>
      <c r="L467" s="2"/>
      <c r="M467" s="2"/>
      <c r="N467" s="2"/>
      <c r="O467" s="2"/>
      <c r="P467" s="2"/>
      <c r="Q467" s="22"/>
      <c r="R467" s="22"/>
      <c r="U467" s="71"/>
      <c r="V467" s="71"/>
      <c r="W467" s="22"/>
    </row>
    <row r="468" spans="5:23" x14ac:dyDescent="0.25">
      <c r="E468" s="2"/>
      <c r="F468" s="2"/>
      <c r="G468" s="2"/>
      <c r="H468" s="22"/>
      <c r="L468" s="2"/>
      <c r="M468" s="2"/>
      <c r="N468" s="2"/>
      <c r="O468" s="2"/>
      <c r="P468" s="2"/>
      <c r="Q468" s="22"/>
      <c r="R468" s="22"/>
      <c r="U468" s="71"/>
      <c r="V468" s="71"/>
      <c r="W468" s="22"/>
    </row>
    <row r="469" spans="5:23" x14ac:dyDescent="0.25">
      <c r="E469" s="2"/>
      <c r="F469" s="2"/>
      <c r="G469" s="2"/>
      <c r="H469" s="22"/>
      <c r="L469" s="2"/>
      <c r="M469" s="2"/>
      <c r="N469" s="2"/>
      <c r="O469" s="2"/>
      <c r="P469" s="2"/>
      <c r="Q469" s="22"/>
      <c r="R469" s="22"/>
      <c r="U469" s="71"/>
      <c r="V469" s="71"/>
      <c r="W469" s="22"/>
    </row>
    <row r="470" spans="5:23" x14ac:dyDescent="0.25">
      <c r="E470" s="2"/>
      <c r="F470" s="2"/>
      <c r="G470" s="2"/>
      <c r="H470" s="22"/>
      <c r="L470" s="2"/>
      <c r="M470" s="2"/>
      <c r="N470" s="2"/>
      <c r="O470" s="2"/>
      <c r="P470" s="2"/>
      <c r="Q470" s="22"/>
      <c r="R470" s="22"/>
      <c r="U470" s="71"/>
      <c r="V470" s="71"/>
      <c r="W470" s="22"/>
    </row>
    <row r="471" spans="5:23" x14ac:dyDescent="0.25">
      <c r="E471" s="2"/>
      <c r="F471" s="2"/>
      <c r="G471" s="2"/>
      <c r="H471" s="22"/>
      <c r="L471" s="2"/>
      <c r="M471" s="2"/>
      <c r="N471" s="2"/>
      <c r="O471" s="2"/>
      <c r="P471" s="2"/>
      <c r="Q471" s="22"/>
      <c r="R471" s="22"/>
      <c r="U471" s="71"/>
      <c r="V471" s="71"/>
      <c r="W471" s="22"/>
    </row>
    <row r="472" spans="5:23" x14ac:dyDescent="0.25">
      <c r="E472" s="2"/>
      <c r="F472" s="2"/>
      <c r="G472" s="2"/>
      <c r="H472" s="22"/>
      <c r="L472" s="2"/>
      <c r="M472" s="2"/>
      <c r="N472" s="2"/>
      <c r="O472" s="2"/>
      <c r="P472" s="2"/>
      <c r="Q472" s="22"/>
      <c r="R472" s="22"/>
      <c r="U472" s="71"/>
      <c r="V472" s="71"/>
      <c r="W472" s="22"/>
    </row>
    <row r="473" spans="5:23" x14ac:dyDescent="0.25">
      <c r="E473" s="2"/>
      <c r="F473" s="2"/>
      <c r="G473" s="2"/>
      <c r="H473" s="22"/>
      <c r="L473" s="2"/>
      <c r="M473" s="2"/>
      <c r="N473" s="2"/>
      <c r="O473" s="2"/>
      <c r="P473" s="2"/>
      <c r="Q473" s="22"/>
      <c r="R473" s="22"/>
      <c r="U473" s="71"/>
      <c r="V473" s="71"/>
      <c r="W473" s="22"/>
    </row>
    <row r="474" spans="5:23" x14ac:dyDescent="0.25">
      <c r="E474" s="2"/>
      <c r="F474" s="2"/>
      <c r="G474" s="2"/>
      <c r="H474" s="22"/>
      <c r="L474" s="2"/>
      <c r="M474" s="2"/>
      <c r="N474" s="2"/>
      <c r="O474" s="2"/>
      <c r="P474" s="2"/>
      <c r="Q474" s="22"/>
      <c r="R474" s="22"/>
      <c r="U474" s="71"/>
      <c r="V474" s="71"/>
      <c r="W474" s="22"/>
    </row>
    <row r="475" spans="5:23" x14ac:dyDescent="0.25">
      <c r="E475" s="2"/>
      <c r="F475" s="2"/>
      <c r="G475" s="2"/>
      <c r="H475" s="22"/>
      <c r="L475" s="2"/>
      <c r="M475" s="2"/>
      <c r="N475" s="2"/>
      <c r="O475" s="2"/>
      <c r="P475" s="2"/>
      <c r="Q475" s="22"/>
      <c r="R475" s="22"/>
      <c r="U475" s="71"/>
      <c r="V475" s="71"/>
      <c r="W475" s="22"/>
    </row>
    <row r="476" spans="5:23" x14ac:dyDescent="0.25">
      <c r="E476" s="2"/>
      <c r="F476" s="2"/>
      <c r="G476" s="2"/>
      <c r="H476" s="22"/>
      <c r="L476" s="2"/>
      <c r="M476" s="2"/>
      <c r="N476" s="2"/>
      <c r="O476" s="2"/>
      <c r="P476" s="2"/>
      <c r="Q476" s="22"/>
      <c r="R476" s="22"/>
      <c r="U476" s="71"/>
      <c r="V476" s="71"/>
      <c r="W476" s="22"/>
    </row>
    <row r="477" spans="5:23" x14ac:dyDescent="0.25">
      <c r="E477" s="2"/>
      <c r="F477" s="2"/>
      <c r="G477" s="2"/>
      <c r="H477" s="22"/>
      <c r="L477" s="2"/>
      <c r="M477" s="2"/>
      <c r="N477" s="2"/>
      <c r="O477" s="2"/>
      <c r="P477" s="2"/>
      <c r="Q477" s="22"/>
      <c r="R477" s="22"/>
      <c r="U477" s="71"/>
      <c r="V477" s="71"/>
      <c r="W477" s="22"/>
    </row>
    <row r="478" spans="5:23" x14ac:dyDescent="0.25">
      <c r="E478" s="2"/>
      <c r="F478" s="2"/>
      <c r="G478" s="2"/>
      <c r="H478" s="22"/>
      <c r="L478" s="2"/>
      <c r="M478" s="2"/>
      <c r="N478" s="2"/>
      <c r="O478" s="2"/>
      <c r="P478" s="2"/>
      <c r="Q478" s="22"/>
      <c r="R478" s="22"/>
      <c r="U478" s="71"/>
      <c r="V478" s="71"/>
      <c r="W478" s="22"/>
    </row>
    <row r="479" spans="5:23" x14ac:dyDescent="0.25">
      <c r="E479" s="2"/>
      <c r="F479" s="2"/>
      <c r="G479" s="2"/>
      <c r="H479" s="22"/>
      <c r="L479" s="2"/>
      <c r="M479" s="2"/>
      <c r="N479" s="2"/>
      <c r="O479" s="2"/>
      <c r="P479" s="2"/>
      <c r="Q479" s="22"/>
      <c r="R479" s="22"/>
      <c r="U479" s="71"/>
      <c r="V479" s="71"/>
      <c r="W479" s="22"/>
    </row>
    <row r="480" spans="5:23" x14ac:dyDescent="0.25">
      <c r="E480" s="2"/>
      <c r="F480" s="2"/>
      <c r="G480" s="2"/>
      <c r="H480" s="22"/>
      <c r="L480" s="2"/>
      <c r="M480" s="2"/>
      <c r="N480" s="2"/>
      <c r="O480" s="2"/>
      <c r="P480" s="2"/>
      <c r="Q480" s="22"/>
      <c r="R480" s="22"/>
      <c r="U480" s="71"/>
      <c r="V480" s="71"/>
      <c r="W480" s="22"/>
    </row>
    <row r="481" spans="5:23" x14ac:dyDescent="0.25">
      <c r="E481" s="2"/>
      <c r="F481" s="2"/>
      <c r="G481" s="2"/>
      <c r="H481" s="22"/>
      <c r="L481" s="2"/>
      <c r="M481" s="2"/>
      <c r="N481" s="2"/>
      <c r="O481" s="2"/>
      <c r="P481" s="2"/>
      <c r="Q481" s="22"/>
      <c r="R481" s="22"/>
      <c r="U481" s="71"/>
      <c r="V481" s="71"/>
      <c r="W481" s="22"/>
    </row>
    <row r="482" spans="5:23" x14ac:dyDescent="0.25">
      <c r="E482" s="2"/>
      <c r="F482" s="2"/>
      <c r="G482" s="2"/>
      <c r="H482" s="22"/>
      <c r="L482" s="2"/>
      <c r="M482" s="2"/>
      <c r="N482" s="2"/>
      <c r="O482" s="2"/>
      <c r="P482" s="2"/>
      <c r="Q482" s="22"/>
      <c r="R482" s="22"/>
      <c r="U482" s="71"/>
      <c r="V482" s="71"/>
      <c r="W482" s="22"/>
    </row>
    <row r="483" spans="5:23" x14ac:dyDescent="0.25">
      <c r="E483" s="2"/>
      <c r="F483" s="2"/>
      <c r="G483" s="2"/>
      <c r="H483" s="22"/>
      <c r="L483" s="2"/>
      <c r="M483" s="2"/>
      <c r="N483" s="2"/>
      <c r="O483" s="2"/>
      <c r="P483" s="2"/>
      <c r="Q483" s="22"/>
      <c r="R483" s="22"/>
      <c r="U483" s="71"/>
      <c r="V483" s="71"/>
      <c r="W483" s="22"/>
    </row>
    <row r="484" spans="5:23" x14ac:dyDescent="0.25">
      <c r="E484" s="2"/>
      <c r="F484" s="2"/>
      <c r="G484" s="2"/>
      <c r="H484" s="22"/>
      <c r="L484" s="2"/>
      <c r="M484" s="2"/>
      <c r="N484" s="2"/>
      <c r="O484" s="2"/>
      <c r="P484" s="2"/>
      <c r="Q484" s="22"/>
      <c r="R484" s="22"/>
      <c r="U484" s="71"/>
      <c r="V484" s="71"/>
      <c r="W484" s="22"/>
    </row>
    <row r="485" spans="5:23" x14ac:dyDescent="0.25">
      <c r="E485" s="2"/>
      <c r="F485" s="2"/>
      <c r="G485" s="2"/>
      <c r="H485" s="22"/>
      <c r="L485" s="2"/>
      <c r="M485" s="2"/>
      <c r="N485" s="2"/>
      <c r="O485" s="2"/>
      <c r="P485" s="2"/>
      <c r="Q485" s="22"/>
      <c r="R485" s="22"/>
      <c r="U485" s="71"/>
      <c r="V485" s="71"/>
      <c r="W485" s="22"/>
    </row>
    <row r="486" spans="5:23" x14ac:dyDescent="0.25">
      <c r="E486" s="2"/>
      <c r="F486" s="2"/>
      <c r="G486" s="2"/>
      <c r="H486" s="22"/>
      <c r="L486" s="2"/>
      <c r="M486" s="2"/>
      <c r="N486" s="2"/>
      <c r="O486" s="2"/>
      <c r="P486" s="2"/>
      <c r="Q486" s="22"/>
      <c r="R486" s="22"/>
      <c r="U486" s="71"/>
      <c r="V486" s="71"/>
      <c r="W486" s="22"/>
    </row>
    <row r="487" spans="5:23" x14ac:dyDescent="0.25">
      <c r="E487" s="2"/>
      <c r="F487" s="2"/>
      <c r="G487" s="2"/>
      <c r="H487" s="22"/>
      <c r="L487" s="2"/>
      <c r="M487" s="2"/>
      <c r="N487" s="2"/>
      <c r="O487" s="2"/>
      <c r="P487" s="2"/>
      <c r="Q487" s="22"/>
      <c r="R487" s="22"/>
      <c r="U487" s="71"/>
      <c r="V487" s="71"/>
      <c r="W487" s="22"/>
    </row>
    <row r="488" spans="5:23" x14ac:dyDescent="0.25">
      <c r="E488" s="2"/>
      <c r="F488" s="2"/>
      <c r="G488" s="2"/>
      <c r="H488" s="22"/>
      <c r="L488" s="2"/>
      <c r="M488" s="2"/>
      <c r="N488" s="2"/>
      <c r="O488" s="2"/>
      <c r="P488" s="2"/>
      <c r="Q488" s="22"/>
      <c r="R488" s="22"/>
      <c r="U488" s="71"/>
      <c r="V488" s="71"/>
      <c r="W488" s="22"/>
    </row>
    <row r="489" spans="5:23" x14ac:dyDescent="0.25">
      <c r="E489" s="2"/>
      <c r="F489" s="2"/>
      <c r="G489" s="2"/>
      <c r="H489" s="22"/>
      <c r="L489" s="2"/>
      <c r="M489" s="2"/>
      <c r="N489" s="2"/>
      <c r="O489" s="2"/>
      <c r="P489" s="2"/>
      <c r="Q489" s="22"/>
      <c r="R489" s="22"/>
      <c r="U489" s="71"/>
      <c r="V489" s="71"/>
      <c r="W489" s="22"/>
    </row>
    <row r="490" spans="5:23" x14ac:dyDescent="0.25">
      <c r="E490" s="2"/>
      <c r="F490" s="2"/>
      <c r="G490" s="2"/>
      <c r="H490" s="22"/>
      <c r="L490" s="2"/>
      <c r="M490" s="2"/>
      <c r="N490" s="2"/>
      <c r="O490" s="2"/>
      <c r="P490" s="2"/>
      <c r="Q490" s="22"/>
      <c r="R490" s="22"/>
      <c r="U490" s="71"/>
      <c r="V490" s="71"/>
      <c r="W490" s="22"/>
    </row>
    <row r="491" spans="5:23" x14ac:dyDescent="0.25">
      <c r="E491" s="2"/>
      <c r="F491" s="2"/>
      <c r="G491" s="2"/>
      <c r="H491" s="22"/>
      <c r="L491" s="2"/>
      <c r="M491" s="2"/>
      <c r="N491" s="2"/>
      <c r="O491" s="2"/>
      <c r="P491" s="2"/>
      <c r="Q491" s="22"/>
      <c r="R491" s="22"/>
      <c r="U491" s="71"/>
      <c r="V491" s="71"/>
      <c r="W491" s="22"/>
    </row>
    <row r="492" spans="5:23" x14ac:dyDescent="0.25">
      <c r="E492" s="2"/>
      <c r="F492" s="2"/>
      <c r="G492" s="2"/>
      <c r="H492" s="22"/>
      <c r="L492" s="2"/>
      <c r="M492" s="2"/>
      <c r="N492" s="2"/>
      <c r="O492" s="2"/>
      <c r="P492" s="2"/>
      <c r="Q492" s="22"/>
      <c r="R492" s="22"/>
      <c r="U492" s="71"/>
      <c r="V492" s="71"/>
      <c r="W492" s="22"/>
    </row>
    <row r="493" spans="5:23" x14ac:dyDescent="0.25">
      <c r="E493" s="2"/>
      <c r="F493" s="2"/>
      <c r="G493" s="2"/>
      <c r="H493" s="22"/>
      <c r="L493" s="2"/>
      <c r="M493" s="2"/>
      <c r="N493" s="2"/>
      <c r="O493" s="2"/>
      <c r="P493" s="2"/>
      <c r="Q493" s="22"/>
      <c r="R493" s="22"/>
      <c r="U493" s="71"/>
      <c r="V493" s="71"/>
      <c r="W493" s="22"/>
    </row>
    <row r="494" spans="5:23" x14ac:dyDescent="0.25">
      <c r="E494" s="2"/>
      <c r="F494" s="2"/>
      <c r="G494" s="2"/>
      <c r="H494" s="22"/>
      <c r="L494" s="2"/>
      <c r="M494" s="2"/>
      <c r="N494" s="2"/>
      <c r="O494" s="2"/>
      <c r="P494" s="2"/>
      <c r="Q494" s="22"/>
      <c r="R494" s="22"/>
      <c r="U494" s="71"/>
      <c r="V494" s="71"/>
      <c r="W494" s="22"/>
    </row>
    <row r="495" spans="5:23" x14ac:dyDescent="0.25">
      <c r="E495" s="2"/>
      <c r="F495" s="2"/>
      <c r="G495" s="2"/>
      <c r="H495" s="22"/>
      <c r="L495" s="2"/>
      <c r="M495" s="2"/>
      <c r="N495" s="2"/>
      <c r="O495" s="2"/>
      <c r="P495" s="2"/>
      <c r="Q495" s="22"/>
      <c r="R495" s="22"/>
      <c r="U495" s="71"/>
      <c r="V495" s="71"/>
      <c r="W495" s="22"/>
    </row>
    <row r="496" spans="5:23" x14ac:dyDescent="0.25">
      <c r="E496" s="2"/>
      <c r="F496" s="2"/>
      <c r="G496" s="2"/>
      <c r="H496" s="22"/>
      <c r="L496" s="2"/>
      <c r="M496" s="2"/>
      <c r="N496" s="2"/>
      <c r="O496" s="2"/>
      <c r="P496" s="2"/>
      <c r="Q496" s="22"/>
      <c r="R496" s="22"/>
      <c r="U496" s="71"/>
      <c r="V496" s="71"/>
      <c r="W496" s="22"/>
    </row>
    <row r="497" spans="5:23" x14ac:dyDescent="0.25">
      <c r="E497" s="2"/>
      <c r="F497" s="2"/>
      <c r="G497" s="2"/>
      <c r="H497" s="22"/>
      <c r="L497" s="2"/>
      <c r="M497" s="2"/>
      <c r="N497" s="2"/>
      <c r="O497" s="2"/>
      <c r="P497" s="2"/>
      <c r="Q497" s="22"/>
      <c r="R497" s="22"/>
      <c r="U497" s="71"/>
      <c r="V497" s="71"/>
      <c r="W497" s="22"/>
    </row>
    <row r="498" spans="5:23" x14ac:dyDescent="0.25">
      <c r="E498" s="2"/>
      <c r="F498" s="2"/>
      <c r="G498" s="2"/>
      <c r="H498" s="22"/>
      <c r="L498" s="2"/>
      <c r="M498" s="2"/>
      <c r="N498" s="2"/>
      <c r="O498" s="2"/>
      <c r="P498" s="2"/>
      <c r="Q498" s="22"/>
      <c r="R498" s="22"/>
      <c r="U498" s="71"/>
      <c r="V498" s="71"/>
      <c r="W498" s="22"/>
    </row>
    <row r="499" spans="5:23" x14ac:dyDescent="0.25">
      <c r="E499" s="2"/>
      <c r="F499" s="2"/>
      <c r="G499" s="2"/>
      <c r="H499" s="22"/>
      <c r="L499" s="2"/>
      <c r="M499" s="2"/>
      <c r="N499" s="2"/>
      <c r="O499" s="2"/>
      <c r="P499" s="2"/>
      <c r="Q499" s="22"/>
      <c r="R499" s="22"/>
      <c r="U499" s="71"/>
      <c r="V499" s="71"/>
      <c r="W499" s="22"/>
    </row>
    <row r="500" spans="5:23" x14ac:dyDescent="0.25">
      <c r="E500" s="2"/>
      <c r="F500" s="2"/>
      <c r="G500" s="2"/>
      <c r="H500" s="22"/>
      <c r="L500" s="2"/>
      <c r="M500" s="2"/>
      <c r="N500" s="2"/>
      <c r="O500" s="2"/>
      <c r="P500" s="2"/>
      <c r="Q500" s="22"/>
      <c r="R500" s="22"/>
      <c r="U500" s="71"/>
      <c r="V500" s="71"/>
      <c r="W500" s="22"/>
    </row>
    <row r="501" spans="5:23" x14ac:dyDescent="0.25">
      <c r="E501" s="2"/>
      <c r="F501" s="2"/>
      <c r="G501" s="2"/>
      <c r="H501" s="22"/>
      <c r="L501" s="2"/>
      <c r="M501" s="2"/>
      <c r="N501" s="2"/>
      <c r="O501" s="2"/>
      <c r="P501" s="2"/>
      <c r="Q501" s="22"/>
      <c r="R501" s="22"/>
      <c r="U501" s="71"/>
      <c r="V501" s="71"/>
      <c r="W501" s="22"/>
    </row>
    <row r="502" spans="5:23" x14ac:dyDescent="0.25">
      <c r="E502" s="2"/>
      <c r="F502" s="2"/>
      <c r="G502" s="2"/>
      <c r="H502" s="22"/>
      <c r="L502" s="2"/>
      <c r="M502" s="2"/>
      <c r="N502" s="2"/>
      <c r="O502" s="2"/>
      <c r="P502" s="2"/>
      <c r="Q502" s="22"/>
      <c r="R502" s="22"/>
      <c r="U502" s="71"/>
      <c r="V502" s="71"/>
      <c r="W502" s="22"/>
    </row>
    <row r="503" spans="5:23" x14ac:dyDescent="0.25">
      <c r="E503" s="2"/>
      <c r="F503" s="2"/>
      <c r="G503" s="2"/>
      <c r="H503" s="22"/>
      <c r="L503" s="2"/>
      <c r="M503" s="2"/>
      <c r="N503" s="2"/>
      <c r="O503" s="2"/>
      <c r="P503" s="2"/>
      <c r="Q503" s="22"/>
      <c r="R503" s="22"/>
      <c r="U503" s="71"/>
      <c r="V503" s="71"/>
      <c r="W503" s="22"/>
    </row>
    <row r="504" spans="5:23" x14ac:dyDescent="0.25">
      <c r="E504" s="2"/>
      <c r="F504" s="2"/>
      <c r="G504" s="2"/>
      <c r="H504" s="22"/>
      <c r="L504" s="2"/>
      <c r="M504" s="2"/>
      <c r="N504" s="2"/>
      <c r="O504" s="2"/>
      <c r="P504" s="2"/>
      <c r="Q504" s="22"/>
      <c r="R504" s="22"/>
      <c r="U504" s="71"/>
      <c r="V504" s="71"/>
      <c r="W504" s="22"/>
    </row>
    <row r="505" spans="5:23" x14ac:dyDescent="0.25">
      <c r="E505" s="2"/>
      <c r="F505" s="2"/>
      <c r="G505" s="2"/>
      <c r="H505" s="22"/>
      <c r="L505" s="2"/>
      <c r="M505" s="2"/>
      <c r="N505" s="2"/>
      <c r="O505" s="2"/>
      <c r="P505" s="2"/>
      <c r="Q505" s="22"/>
      <c r="R505" s="22"/>
      <c r="U505" s="71"/>
      <c r="V505" s="71"/>
      <c r="W505" s="22"/>
    </row>
    <row r="506" spans="5:23" x14ac:dyDescent="0.25">
      <c r="E506" s="2"/>
      <c r="F506" s="2"/>
      <c r="G506" s="2"/>
      <c r="H506" s="22"/>
      <c r="L506" s="2"/>
      <c r="M506" s="2"/>
      <c r="N506" s="2"/>
      <c r="O506" s="2"/>
      <c r="P506" s="2"/>
      <c r="Q506" s="22"/>
      <c r="R506" s="22"/>
      <c r="U506" s="71"/>
      <c r="V506" s="71"/>
      <c r="W506" s="22"/>
    </row>
    <row r="507" spans="5:23" x14ac:dyDescent="0.25">
      <c r="E507" s="2"/>
      <c r="F507" s="2"/>
      <c r="G507" s="2"/>
      <c r="H507" s="22"/>
      <c r="L507" s="2"/>
      <c r="M507" s="2"/>
      <c r="N507" s="2"/>
      <c r="O507" s="2"/>
      <c r="P507" s="2"/>
      <c r="Q507" s="22"/>
      <c r="R507" s="22"/>
      <c r="U507" s="71"/>
      <c r="V507" s="71"/>
      <c r="W507" s="22"/>
    </row>
    <row r="508" spans="5:23" x14ac:dyDescent="0.25">
      <c r="E508" s="2"/>
      <c r="F508" s="2"/>
      <c r="G508" s="2"/>
      <c r="H508" s="22"/>
      <c r="L508" s="2"/>
      <c r="M508" s="2"/>
      <c r="N508" s="2"/>
      <c r="O508" s="2"/>
      <c r="P508" s="2"/>
      <c r="Q508" s="22"/>
      <c r="R508" s="22"/>
      <c r="U508" s="71"/>
      <c r="V508" s="71"/>
      <c r="W508" s="22"/>
    </row>
    <row r="509" spans="5:23" x14ac:dyDescent="0.25">
      <c r="E509" s="2"/>
      <c r="F509" s="2"/>
      <c r="G509" s="2"/>
      <c r="H509" s="22"/>
      <c r="L509" s="2"/>
      <c r="M509" s="2"/>
      <c r="N509" s="2"/>
      <c r="O509" s="2"/>
      <c r="P509" s="2"/>
      <c r="Q509" s="22"/>
      <c r="R509" s="22"/>
      <c r="U509" s="71"/>
      <c r="V509" s="71"/>
      <c r="W509" s="22"/>
    </row>
    <row r="510" spans="5:23" x14ac:dyDescent="0.25">
      <c r="E510" s="2"/>
      <c r="F510" s="2"/>
      <c r="G510" s="2"/>
      <c r="H510" s="22"/>
      <c r="L510" s="2"/>
      <c r="M510" s="2"/>
      <c r="N510" s="2"/>
      <c r="O510" s="2"/>
      <c r="P510" s="2"/>
      <c r="Q510" s="22"/>
      <c r="R510" s="22"/>
      <c r="U510" s="71"/>
      <c r="V510" s="71"/>
      <c r="W510" s="22"/>
    </row>
    <row r="511" spans="5:23" x14ac:dyDescent="0.25">
      <c r="E511" s="2"/>
      <c r="F511" s="2"/>
      <c r="G511" s="2"/>
      <c r="H511" s="22"/>
      <c r="L511" s="2"/>
      <c r="M511" s="2"/>
      <c r="N511" s="2"/>
      <c r="O511" s="2"/>
      <c r="P511" s="2"/>
      <c r="Q511" s="22"/>
      <c r="R511" s="22"/>
      <c r="U511" s="71"/>
      <c r="V511" s="71"/>
      <c r="W511" s="22"/>
    </row>
    <row r="512" spans="5:23" x14ac:dyDescent="0.25">
      <c r="E512" s="2"/>
      <c r="F512" s="2"/>
      <c r="G512" s="2"/>
      <c r="H512" s="22"/>
      <c r="L512" s="2"/>
      <c r="M512" s="2"/>
      <c r="N512" s="2"/>
      <c r="O512" s="2"/>
      <c r="P512" s="2"/>
      <c r="Q512" s="22"/>
      <c r="R512" s="22"/>
      <c r="U512" s="71"/>
      <c r="V512" s="71"/>
      <c r="W512" s="22"/>
    </row>
    <row r="513" spans="5:23" x14ac:dyDescent="0.25">
      <c r="E513" s="2"/>
      <c r="F513" s="2"/>
      <c r="G513" s="2"/>
      <c r="H513" s="22"/>
      <c r="L513" s="2"/>
      <c r="M513" s="2"/>
      <c r="N513" s="2"/>
      <c r="O513" s="2"/>
      <c r="P513" s="2"/>
      <c r="Q513" s="22"/>
      <c r="R513" s="22"/>
      <c r="U513" s="71"/>
      <c r="V513" s="71"/>
      <c r="W513" s="22"/>
    </row>
    <row r="514" spans="5:23" x14ac:dyDescent="0.25">
      <c r="E514" s="2"/>
      <c r="F514" s="2"/>
      <c r="G514" s="2"/>
      <c r="H514" s="22"/>
      <c r="L514" s="2"/>
      <c r="M514" s="2"/>
      <c r="N514" s="2"/>
      <c r="O514" s="2"/>
      <c r="P514" s="2"/>
      <c r="Q514" s="22"/>
      <c r="R514" s="22"/>
      <c r="U514" s="71"/>
      <c r="V514" s="71"/>
      <c r="W514" s="22"/>
    </row>
    <row r="515" spans="5:23" x14ac:dyDescent="0.25">
      <c r="E515" s="2"/>
      <c r="F515" s="2"/>
      <c r="G515" s="2"/>
      <c r="H515" s="22"/>
      <c r="L515" s="2"/>
      <c r="M515" s="2"/>
      <c r="N515" s="2"/>
      <c r="O515" s="2"/>
      <c r="P515" s="2"/>
      <c r="Q515" s="22"/>
      <c r="R515" s="22"/>
      <c r="U515" s="71"/>
      <c r="V515" s="71"/>
      <c r="W515" s="22"/>
    </row>
    <row r="516" spans="5:23" x14ac:dyDescent="0.25">
      <c r="E516" s="2"/>
      <c r="F516" s="2"/>
      <c r="G516" s="2"/>
      <c r="H516" s="22"/>
      <c r="L516" s="2"/>
      <c r="M516" s="2"/>
      <c r="N516" s="2"/>
      <c r="O516" s="2"/>
      <c r="P516" s="2"/>
      <c r="Q516" s="22"/>
      <c r="R516" s="22"/>
      <c r="U516" s="71"/>
      <c r="V516" s="71"/>
      <c r="W516" s="22"/>
    </row>
    <row r="517" spans="5:23" x14ac:dyDescent="0.25">
      <c r="E517" s="2"/>
      <c r="F517" s="2"/>
      <c r="G517" s="2"/>
      <c r="H517" s="22"/>
      <c r="L517" s="2"/>
      <c r="M517" s="2"/>
      <c r="N517" s="2"/>
      <c r="O517" s="2"/>
      <c r="P517" s="2"/>
      <c r="Q517" s="22"/>
      <c r="R517" s="22"/>
      <c r="U517" s="71"/>
      <c r="V517" s="71"/>
      <c r="W517" s="22"/>
    </row>
    <row r="518" spans="5:23" x14ac:dyDescent="0.25">
      <c r="E518" s="2"/>
      <c r="F518" s="2"/>
      <c r="G518" s="2"/>
      <c r="H518" s="22"/>
      <c r="L518" s="2"/>
      <c r="M518" s="2"/>
      <c r="N518" s="2"/>
      <c r="O518" s="2"/>
      <c r="P518" s="2"/>
      <c r="Q518" s="22"/>
      <c r="R518" s="22"/>
      <c r="U518" s="71"/>
      <c r="V518" s="71"/>
      <c r="W518" s="22"/>
    </row>
    <row r="519" spans="5:23" x14ac:dyDescent="0.25">
      <c r="E519" s="2"/>
      <c r="F519" s="2"/>
      <c r="G519" s="2"/>
      <c r="H519" s="22"/>
      <c r="L519" s="2"/>
      <c r="M519" s="2"/>
      <c r="N519" s="2"/>
      <c r="O519" s="2"/>
      <c r="P519" s="2"/>
      <c r="Q519" s="22"/>
      <c r="R519" s="22"/>
      <c r="U519" s="71"/>
      <c r="V519" s="71"/>
      <c r="W519" s="22"/>
    </row>
    <row r="520" spans="5:23" x14ac:dyDescent="0.25">
      <c r="E520" s="2"/>
      <c r="F520" s="2"/>
      <c r="G520" s="2"/>
      <c r="H520" s="22"/>
      <c r="L520" s="2"/>
      <c r="M520" s="2"/>
      <c r="N520" s="2"/>
      <c r="O520" s="2"/>
      <c r="P520" s="2"/>
      <c r="Q520" s="22"/>
      <c r="R520" s="22"/>
      <c r="U520" s="71"/>
      <c r="V520" s="71"/>
      <c r="W520" s="22"/>
    </row>
    <row r="521" spans="5:23" x14ac:dyDescent="0.25">
      <c r="E521" s="2"/>
      <c r="F521" s="2"/>
      <c r="G521" s="2"/>
      <c r="H521" s="22"/>
      <c r="L521" s="2"/>
      <c r="M521" s="2"/>
      <c r="N521" s="2"/>
      <c r="O521" s="2"/>
      <c r="P521" s="2"/>
      <c r="Q521" s="22"/>
      <c r="R521" s="22"/>
      <c r="U521" s="71"/>
      <c r="V521" s="71"/>
      <c r="W521" s="22"/>
    </row>
    <row r="522" spans="5:23" x14ac:dyDescent="0.25">
      <c r="E522" s="2"/>
      <c r="F522" s="2"/>
      <c r="G522" s="2"/>
      <c r="H522" s="22"/>
      <c r="L522" s="2"/>
      <c r="M522" s="2"/>
      <c r="N522" s="2"/>
      <c r="O522" s="2"/>
      <c r="P522" s="2"/>
      <c r="Q522" s="22"/>
      <c r="R522" s="22"/>
      <c r="U522" s="71"/>
      <c r="V522" s="71"/>
      <c r="W522" s="22"/>
    </row>
    <row r="523" spans="5:23" x14ac:dyDescent="0.25">
      <c r="E523" s="2"/>
      <c r="F523" s="2"/>
      <c r="G523" s="2"/>
      <c r="H523" s="22"/>
      <c r="L523" s="2"/>
      <c r="M523" s="2"/>
      <c r="N523" s="2"/>
      <c r="O523" s="2"/>
      <c r="P523" s="2"/>
      <c r="Q523" s="22"/>
      <c r="R523" s="22"/>
      <c r="U523" s="71"/>
      <c r="V523" s="71"/>
      <c r="W523" s="22"/>
    </row>
    <row r="524" spans="5:23" x14ac:dyDescent="0.25">
      <c r="E524" s="2"/>
      <c r="F524" s="2"/>
      <c r="G524" s="2"/>
      <c r="H524" s="22"/>
      <c r="L524" s="2"/>
      <c r="M524" s="2"/>
      <c r="N524" s="2"/>
      <c r="O524" s="2"/>
      <c r="P524" s="2"/>
      <c r="Q524" s="22"/>
      <c r="R524" s="22"/>
      <c r="U524" s="71"/>
      <c r="V524" s="71"/>
      <c r="W524" s="22"/>
    </row>
    <row r="525" spans="5:23" x14ac:dyDescent="0.25">
      <c r="E525" s="2"/>
      <c r="F525" s="2"/>
      <c r="G525" s="2"/>
      <c r="H525" s="22"/>
      <c r="L525" s="2"/>
      <c r="M525" s="2"/>
      <c r="N525" s="2"/>
      <c r="O525" s="2"/>
      <c r="P525" s="2"/>
      <c r="Q525" s="22"/>
      <c r="R525" s="22"/>
      <c r="U525" s="71"/>
      <c r="V525" s="71"/>
      <c r="W525" s="22"/>
    </row>
    <row r="526" spans="5:23" x14ac:dyDescent="0.25">
      <c r="E526" s="2"/>
      <c r="F526" s="2"/>
      <c r="G526" s="2"/>
      <c r="H526" s="22"/>
      <c r="L526" s="2"/>
      <c r="M526" s="2"/>
      <c r="N526" s="2"/>
      <c r="O526" s="2"/>
      <c r="P526" s="2"/>
      <c r="Q526" s="22"/>
      <c r="R526" s="22"/>
      <c r="U526" s="71"/>
      <c r="V526" s="71"/>
      <c r="W526" s="22"/>
    </row>
    <row r="527" spans="5:23" x14ac:dyDescent="0.25">
      <c r="E527" s="2"/>
      <c r="F527" s="2"/>
      <c r="G527" s="2"/>
      <c r="H527" s="22"/>
      <c r="L527" s="2"/>
      <c r="M527" s="2"/>
      <c r="N527" s="2"/>
      <c r="O527" s="2"/>
      <c r="P527" s="2"/>
      <c r="Q527" s="22"/>
      <c r="R527" s="22"/>
      <c r="U527" s="71"/>
      <c r="V527" s="71"/>
      <c r="W527" s="22"/>
    </row>
    <row r="528" spans="5:23" x14ac:dyDescent="0.25">
      <c r="E528" s="2"/>
      <c r="F528" s="2"/>
      <c r="G528" s="2"/>
      <c r="H528" s="22"/>
      <c r="L528" s="2"/>
      <c r="M528" s="2"/>
      <c r="N528" s="2"/>
      <c r="O528" s="2"/>
      <c r="P528" s="2"/>
      <c r="Q528" s="22"/>
      <c r="R528" s="22"/>
      <c r="U528" s="71"/>
      <c r="V528" s="71"/>
      <c r="W528" s="22"/>
    </row>
    <row r="529" spans="5:23" x14ac:dyDescent="0.25">
      <c r="E529" s="2"/>
      <c r="F529" s="2"/>
      <c r="G529" s="2"/>
      <c r="H529" s="22"/>
      <c r="L529" s="2"/>
      <c r="M529" s="2"/>
      <c r="N529" s="2"/>
      <c r="O529" s="2"/>
      <c r="P529" s="2"/>
      <c r="Q529" s="22"/>
      <c r="R529" s="22"/>
      <c r="U529" s="71"/>
      <c r="V529" s="71"/>
      <c r="W529" s="22"/>
    </row>
    <row r="530" spans="5:23" x14ac:dyDescent="0.25">
      <c r="E530" s="2"/>
      <c r="F530" s="2"/>
      <c r="G530" s="2"/>
      <c r="H530" s="22"/>
      <c r="L530" s="2"/>
      <c r="M530" s="2"/>
      <c r="N530" s="2"/>
      <c r="O530" s="2"/>
      <c r="P530" s="2"/>
      <c r="Q530" s="22"/>
      <c r="R530" s="22"/>
      <c r="U530" s="71"/>
      <c r="V530" s="71"/>
      <c r="W530" s="22"/>
    </row>
    <row r="531" spans="5:23" x14ac:dyDescent="0.25">
      <c r="E531" s="2"/>
      <c r="F531" s="2"/>
      <c r="G531" s="2"/>
      <c r="H531" s="22"/>
      <c r="L531" s="2"/>
      <c r="M531" s="2"/>
      <c r="N531" s="2"/>
      <c r="O531" s="2"/>
      <c r="P531" s="2"/>
      <c r="Q531" s="22"/>
      <c r="R531" s="22"/>
      <c r="U531" s="71"/>
      <c r="V531" s="71"/>
      <c r="W531" s="22"/>
    </row>
    <row r="532" spans="5:23" x14ac:dyDescent="0.25">
      <c r="E532" s="2"/>
      <c r="F532" s="2"/>
      <c r="G532" s="2"/>
      <c r="H532" s="22"/>
      <c r="L532" s="2"/>
      <c r="M532" s="2"/>
      <c r="N532" s="2"/>
      <c r="O532" s="2"/>
      <c r="P532" s="2"/>
      <c r="Q532" s="22"/>
      <c r="R532" s="22"/>
      <c r="U532" s="71"/>
      <c r="V532" s="71"/>
      <c r="W532" s="22"/>
    </row>
    <row r="533" spans="5:23" x14ac:dyDescent="0.25">
      <c r="E533" s="2"/>
      <c r="F533" s="2"/>
      <c r="G533" s="2"/>
      <c r="H533" s="22"/>
      <c r="L533" s="2"/>
      <c r="M533" s="2"/>
      <c r="N533" s="2"/>
      <c r="O533" s="2"/>
      <c r="P533" s="2"/>
      <c r="Q533" s="22"/>
      <c r="R533" s="22"/>
      <c r="U533" s="71"/>
      <c r="V533" s="71"/>
      <c r="W533" s="22"/>
    </row>
    <row r="534" spans="5:23" x14ac:dyDescent="0.25">
      <c r="E534" s="2"/>
      <c r="F534" s="2"/>
      <c r="G534" s="2"/>
      <c r="H534" s="22"/>
      <c r="L534" s="2"/>
      <c r="M534" s="2"/>
      <c r="N534" s="2"/>
      <c r="O534" s="2"/>
      <c r="P534" s="2"/>
      <c r="Q534" s="22"/>
      <c r="R534" s="22"/>
      <c r="U534" s="71"/>
      <c r="V534" s="71"/>
      <c r="W534" s="22"/>
    </row>
    <row r="535" spans="5:23" x14ac:dyDescent="0.25">
      <c r="E535" s="2"/>
      <c r="F535" s="2"/>
      <c r="G535" s="2"/>
      <c r="H535" s="22"/>
      <c r="L535" s="2"/>
      <c r="M535" s="2"/>
      <c r="N535" s="2"/>
      <c r="O535" s="2"/>
      <c r="P535" s="2"/>
      <c r="Q535" s="22"/>
      <c r="R535" s="22"/>
      <c r="U535" s="71"/>
      <c r="V535" s="71"/>
      <c r="W535" s="22"/>
    </row>
    <row r="536" spans="5:23" x14ac:dyDescent="0.25">
      <c r="E536" s="2"/>
      <c r="F536" s="2"/>
      <c r="G536" s="2"/>
      <c r="H536" s="22"/>
      <c r="L536" s="2"/>
      <c r="M536" s="2"/>
      <c r="N536" s="2"/>
      <c r="O536" s="2"/>
      <c r="P536" s="2"/>
      <c r="Q536" s="22"/>
      <c r="R536" s="22"/>
      <c r="U536" s="71"/>
      <c r="V536" s="71"/>
      <c r="W536" s="22"/>
    </row>
    <row r="537" spans="5:23" x14ac:dyDescent="0.25">
      <c r="E537" s="2"/>
      <c r="F537" s="2"/>
      <c r="G537" s="2"/>
      <c r="H537" s="22"/>
      <c r="L537" s="2"/>
      <c r="M537" s="2"/>
      <c r="N537" s="2"/>
      <c r="O537" s="2"/>
      <c r="P537" s="2"/>
      <c r="Q537" s="22"/>
      <c r="R537" s="22"/>
      <c r="U537" s="71"/>
      <c r="V537" s="71"/>
      <c r="W537" s="22"/>
    </row>
    <row r="538" spans="5:23" x14ac:dyDescent="0.25">
      <c r="E538" s="2"/>
      <c r="F538" s="2"/>
      <c r="G538" s="2"/>
      <c r="H538" s="22"/>
      <c r="L538" s="2"/>
      <c r="M538" s="2"/>
      <c r="N538" s="2"/>
      <c r="O538" s="2"/>
      <c r="P538" s="2"/>
      <c r="Q538" s="22"/>
      <c r="R538" s="22"/>
      <c r="U538" s="71"/>
      <c r="V538" s="71"/>
      <c r="W538" s="22"/>
    </row>
    <row r="539" spans="5:23" x14ac:dyDescent="0.25">
      <c r="E539" s="2"/>
      <c r="F539" s="2"/>
      <c r="G539" s="2"/>
      <c r="H539" s="22"/>
      <c r="L539" s="2"/>
      <c r="M539" s="2"/>
      <c r="N539" s="2"/>
      <c r="O539" s="2"/>
      <c r="P539" s="2"/>
      <c r="Q539" s="22"/>
      <c r="R539" s="22"/>
      <c r="U539" s="71"/>
      <c r="V539" s="71"/>
      <c r="W539" s="22"/>
    </row>
    <row r="540" spans="5:23" x14ac:dyDescent="0.25">
      <c r="E540" s="2"/>
      <c r="F540" s="2"/>
      <c r="G540" s="2"/>
      <c r="H540" s="22"/>
      <c r="L540" s="2"/>
      <c r="M540" s="2"/>
      <c r="N540" s="2"/>
      <c r="O540" s="2"/>
      <c r="P540" s="2"/>
      <c r="Q540" s="22"/>
      <c r="R540" s="22"/>
      <c r="U540" s="71"/>
      <c r="V540" s="71"/>
      <c r="W540" s="22"/>
    </row>
    <row r="541" spans="5:23" x14ac:dyDescent="0.25">
      <c r="E541" s="2"/>
      <c r="F541" s="2"/>
      <c r="G541" s="2"/>
      <c r="H541" s="22"/>
      <c r="L541" s="2"/>
      <c r="M541" s="2"/>
      <c r="N541" s="2"/>
      <c r="O541" s="2"/>
      <c r="P541" s="2"/>
      <c r="Q541" s="22"/>
      <c r="R541" s="22"/>
      <c r="U541" s="71"/>
      <c r="V541" s="71"/>
      <c r="W541" s="22"/>
    </row>
    <row r="542" spans="5:23" x14ac:dyDescent="0.25">
      <c r="E542" s="2"/>
      <c r="F542" s="2"/>
      <c r="G542" s="2"/>
      <c r="H542" s="22"/>
      <c r="L542" s="2"/>
      <c r="M542" s="2"/>
      <c r="N542" s="2"/>
      <c r="O542" s="2"/>
      <c r="P542" s="2"/>
      <c r="Q542" s="22"/>
      <c r="R542" s="22"/>
      <c r="U542" s="71"/>
      <c r="V542" s="71"/>
      <c r="W542" s="22"/>
    </row>
    <row r="543" spans="5:23" x14ac:dyDescent="0.25">
      <c r="E543" s="2"/>
      <c r="F543" s="2"/>
      <c r="G543" s="2"/>
      <c r="H543" s="22"/>
      <c r="L543" s="2"/>
      <c r="M543" s="2"/>
      <c r="N543" s="2"/>
      <c r="O543" s="2"/>
      <c r="P543" s="2"/>
      <c r="Q543" s="22"/>
      <c r="R543" s="22"/>
      <c r="U543" s="71"/>
      <c r="V543" s="71"/>
      <c r="W543" s="22"/>
    </row>
    <row r="544" spans="5:23" x14ac:dyDescent="0.25">
      <c r="E544" s="2"/>
      <c r="F544" s="2"/>
      <c r="G544" s="2"/>
      <c r="H544" s="22"/>
      <c r="L544" s="2"/>
      <c r="M544" s="2"/>
      <c r="N544" s="2"/>
      <c r="O544" s="2"/>
      <c r="P544" s="2"/>
      <c r="Q544" s="22"/>
      <c r="R544" s="22"/>
      <c r="U544" s="71"/>
      <c r="V544" s="71"/>
      <c r="W544" s="22"/>
    </row>
    <row r="545" spans="5:23" x14ac:dyDescent="0.25">
      <c r="E545" s="2"/>
      <c r="F545" s="2"/>
      <c r="G545" s="2"/>
      <c r="H545" s="22"/>
      <c r="L545" s="2"/>
      <c r="M545" s="2"/>
      <c r="N545" s="2"/>
      <c r="O545" s="2"/>
      <c r="P545" s="2"/>
      <c r="Q545" s="22"/>
      <c r="R545" s="22"/>
      <c r="U545" s="71"/>
      <c r="V545" s="71"/>
      <c r="W545" s="22"/>
    </row>
    <row r="546" spans="5:23" x14ac:dyDescent="0.25">
      <c r="E546" s="2"/>
      <c r="F546" s="2"/>
      <c r="G546" s="2"/>
      <c r="H546" s="22"/>
      <c r="L546" s="2"/>
      <c r="M546" s="2"/>
      <c r="N546" s="2"/>
      <c r="O546" s="2"/>
      <c r="P546" s="2"/>
      <c r="Q546" s="22"/>
      <c r="R546" s="22"/>
      <c r="U546" s="71"/>
      <c r="V546" s="71"/>
      <c r="W546" s="22"/>
    </row>
    <row r="547" spans="5:23" x14ac:dyDescent="0.25">
      <c r="E547" s="2"/>
      <c r="F547" s="2"/>
      <c r="G547" s="2"/>
      <c r="H547" s="22"/>
      <c r="L547" s="2"/>
      <c r="M547" s="2"/>
      <c r="N547" s="2"/>
      <c r="O547" s="2"/>
      <c r="P547" s="2"/>
      <c r="Q547" s="22"/>
      <c r="R547" s="22"/>
      <c r="U547" s="71"/>
      <c r="V547" s="71"/>
      <c r="W547" s="22"/>
    </row>
    <row r="548" spans="5:23" x14ac:dyDescent="0.25">
      <c r="E548" s="2"/>
      <c r="F548" s="2"/>
      <c r="G548" s="2"/>
      <c r="H548" s="22"/>
      <c r="L548" s="2"/>
      <c r="M548" s="2"/>
      <c r="N548" s="2"/>
      <c r="O548" s="2"/>
      <c r="P548" s="2"/>
      <c r="Q548" s="22"/>
      <c r="R548" s="22"/>
      <c r="U548" s="71"/>
      <c r="V548" s="71"/>
      <c r="W548" s="22"/>
    </row>
    <row r="549" spans="5:23" x14ac:dyDescent="0.25">
      <c r="E549" s="2"/>
      <c r="F549" s="2"/>
      <c r="G549" s="2"/>
      <c r="H549" s="22"/>
      <c r="L549" s="2"/>
      <c r="M549" s="2"/>
      <c r="N549" s="2"/>
      <c r="O549" s="2"/>
      <c r="P549" s="2"/>
      <c r="Q549" s="22"/>
      <c r="R549" s="22"/>
      <c r="U549" s="71"/>
      <c r="V549" s="71"/>
      <c r="W549" s="22"/>
    </row>
    <row r="550" spans="5:23" x14ac:dyDescent="0.25">
      <c r="E550" s="2"/>
      <c r="F550" s="2"/>
      <c r="G550" s="2"/>
      <c r="H550" s="22"/>
      <c r="L550" s="2"/>
      <c r="M550" s="2"/>
      <c r="N550" s="2"/>
      <c r="O550" s="2"/>
      <c r="P550" s="2"/>
      <c r="Q550" s="22"/>
      <c r="R550" s="22"/>
      <c r="U550" s="71"/>
      <c r="V550" s="71"/>
      <c r="W550" s="22"/>
    </row>
    <row r="551" spans="5:23" x14ac:dyDescent="0.25">
      <c r="E551" s="2"/>
      <c r="F551" s="2"/>
      <c r="G551" s="2"/>
      <c r="H551" s="22"/>
      <c r="L551" s="2"/>
      <c r="M551" s="2"/>
      <c r="N551" s="2"/>
      <c r="O551" s="2"/>
      <c r="P551" s="2"/>
      <c r="Q551" s="22"/>
      <c r="R551" s="22"/>
      <c r="U551" s="71"/>
      <c r="V551" s="71"/>
      <c r="W551" s="22"/>
    </row>
    <row r="552" spans="5:23" x14ac:dyDescent="0.25">
      <c r="E552" s="2"/>
      <c r="F552" s="2"/>
      <c r="G552" s="2"/>
      <c r="H552" s="22"/>
      <c r="L552" s="2"/>
      <c r="M552" s="2"/>
      <c r="N552" s="2"/>
      <c r="O552" s="2"/>
      <c r="P552" s="2"/>
      <c r="Q552" s="22"/>
      <c r="R552" s="22"/>
      <c r="U552" s="71"/>
      <c r="V552" s="71"/>
      <c r="W552" s="22"/>
    </row>
    <row r="553" spans="5:23" x14ac:dyDescent="0.25">
      <c r="E553" s="2"/>
      <c r="F553" s="2"/>
      <c r="G553" s="2"/>
      <c r="H553" s="22"/>
      <c r="L553" s="2"/>
      <c r="M553" s="2"/>
      <c r="N553" s="2"/>
      <c r="O553" s="2"/>
      <c r="P553" s="2"/>
      <c r="Q553" s="22"/>
      <c r="R553" s="22"/>
      <c r="U553" s="71"/>
      <c r="V553" s="71"/>
      <c r="W553" s="22"/>
    </row>
    <row r="554" spans="5:23" x14ac:dyDescent="0.25">
      <c r="E554" s="2"/>
      <c r="F554" s="2"/>
      <c r="G554" s="2"/>
      <c r="H554" s="22"/>
      <c r="L554" s="2"/>
      <c r="M554" s="2"/>
      <c r="N554" s="2"/>
      <c r="O554" s="2"/>
      <c r="P554" s="2"/>
      <c r="Q554" s="22"/>
      <c r="R554" s="22"/>
      <c r="U554" s="71"/>
      <c r="V554" s="71"/>
      <c r="W554" s="22"/>
    </row>
    <row r="555" spans="5:23" x14ac:dyDescent="0.25">
      <c r="E555" s="2"/>
      <c r="F555" s="2"/>
      <c r="G555" s="2"/>
      <c r="H555" s="22"/>
      <c r="L555" s="2"/>
      <c r="M555" s="2"/>
      <c r="N555" s="2"/>
      <c r="O555" s="2"/>
      <c r="P555" s="2"/>
      <c r="Q555" s="22"/>
      <c r="R555" s="22"/>
      <c r="U555" s="71"/>
      <c r="V555" s="71"/>
      <c r="W555" s="22"/>
    </row>
    <row r="556" spans="5:23" x14ac:dyDescent="0.25">
      <c r="E556" s="2"/>
      <c r="F556" s="2"/>
      <c r="G556" s="2"/>
      <c r="H556" s="22"/>
      <c r="L556" s="2"/>
      <c r="M556" s="2"/>
      <c r="N556" s="2"/>
      <c r="O556" s="2"/>
      <c r="P556" s="2"/>
      <c r="Q556" s="22"/>
      <c r="R556" s="22"/>
      <c r="U556" s="71"/>
      <c r="V556" s="71"/>
      <c r="W556" s="22"/>
    </row>
    <row r="557" spans="5:23" x14ac:dyDescent="0.25">
      <c r="E557" s="2"/>
      <c r="F557" s="2"/>
      <c r="G557" s="2"/>
      <c r="H557" s="22"/>
      <c r="L557" s="2"/>
      <c r="M557" s="2"/>
      <c r="N557" s="2"/>
      <c r="O557" s="2"/>
      <c r="P557" s="2"/>
      <c r="Q557" s="22"/>
      <c r="R557" s="22"/>
      <c r="U557" s="71"/>
      <c r="V557" s="71"/>
      <c r="W557" s="22"/>
    </row>
    <row r="558" spans="5:23" x14ac:dyDescent="0.25">
      <c r="E558" s="2"/>
      <c r="F558" s="2"/>
      <c r="G558" s="2"/>
      <c r="H558" s="22"/>
      <c r="L558" s="2"/>
      <c r="M558" s="2"/>
      <c r="N558" s="2"/>
      <c r="O558" s="2"/>
      <c r="P558" s="2"/>
      <c r="Q558" s="22"/>
      <c r="R558" s="22"/>
      <c r="U558" s="71"/>
      <c r="V558" s="71"/>
      <c r="W558" s="22"/>
    </row>
    <row r="559" spans="5:23" x14ac:dyDescent="0.25">
      <c r="E559" s="2"/>
      <c r="F559" s="2"/>
      <c r="G559" s="2"/>
      <c r="H559" s="22"/>
      <c r="L559" s="2"/>
      <c r="M559" s="2"/>
      <c r="N559" s="2"/>
      <c r="O559" s="2"/>
      <c r="P559" s="2"/>
      <c r="Q559" s="22"/>
      <c r="R559" s="22"/>
      <c r="U559" s="71"/>
      <c r="V559" s="71"/>
      <c r="W559" s="22"/>
    </row>
    <row r="560" spans="5:23" x14ac:dyDescent="0.25">
      <c r="E560" s="2"/>
      <c r="F560" s="2"/>
      <c r="G560" s="2"/>
      <c r="H560" s="22"/>
      <c r="L560" s="2"/>
      <c r="M560" s="2"/>
      <c r="N560" s="2"/>
      <c r="O560" s="2"/>
      <c r="P560" s="2"/>
      <c r="Q560" s="22"/>
      <c r="R560" s="22"/>
      <c r="U560" s="71"/>
      <c r="V560" s="71"/>
      <c r="W560" s="22"/>
    </row>
    <row r="561" spans="5:23" x14ac:dyDescent="0.25">
      <c r="E561" s="2"/>
      <c r="F561" s="2"/>
      <c r="G561" s="2"/>
      <c r="H561" s="22"/>
      <c r="L561" s="2"/>
      <c r="M561" s="2"/>
      <c r="N561" s="2"/>
      <c r="O561" s="2"/>
      <c r="P561" s="2"/>
      <c r="Q561" s="22"/>
      <c r="R561" s="22"/>
      <c r="U561" s="71"/>
      <c r="V561" s="71"/>
      <c r="W561" s="22"/>
    </row>
    <row r="562" spans="5:23" x14ac:dyDescent="0.25">
      <c r="E562" s="2"/>
      <c r="F562" s="2"/>
      <c r="G562" s="2"/>
      <c r="H562" s="22"/>
      <c r="L562" s="2"/>
      <c r="M562" s="2"/>
      <c r="N562" s="2"/>
      <c r="O562" s="2"/>
      <c r="P562" s="2"/>
      <c r="Q562" s="22"/>
      <c r="R562" s="22"/>
      <c r="U562" s="71"/>
      <c r="V562" s="71"/>
      <c r="W562" s="22"/>
    </row>
    <row r="563" spans="5:23" x14ac:dyDescent="0.25">
      <c r="E563" s="2"/>
      <c r="F563" s="2"/>
      <c r="G563" s="2"/>
      <c r="H563" s="22"/>
      <c r="L563" s="2"/>
      <c r="M563" s="2"/>
      <c r="N563" s="2"/>
      <c r="O563" s="2"/>
      <c r="P563" s="2"/>
      <c r="Q563" s="22"/>
      <c r="R563" s="22"/>
      <c r="U563" s="71"/>
      <c r="V563" s="71"/>
      <c r="W563" s="22"/>
    </row>
    <row r="564" spans="5:23" x14ac:dyDescent="0.25">
      <c r="E564" s="2"/>
      <c r="F564" s="2"/>
      <c r="G564" s="2"/>
      <c r="H564" s="22"/>
      <c r="L564" s="2"/>
      <c r="M564" s="2"/>
      <c r="N564" s="2"/>
      <c r="O564" s="2"/>
      <c r="P564" s="2"/>
      <c r="Q564" s="22"/>
      <c r="R564" s="22"/>
      <c r="U564" s="71"/>
      <c r="V564" s="71"/>
      <c r="W564" s="22"/>
    </row>
    <row r="565" spans="5:23" x14ac:dyDescent="0.25">
      <c r="E565" s="2"/>
      <c r="F565" s="2"/>
      <c r="G565" s="2"/>
      <c r="H565" s="22"/>
      <c r="L565" s="2"/>
      <c r="M565" s="2"/>
      <c r="N565" s="2"/>
      <c r="O565" s="2"/>
      <c r="P565" s="2"/>
      <c r="Q565" s="22"/>
      <c r="R565" s="22"/>
      <c r="U565" s="71"/>
      <c r="V565" s="71"/>
      <c r="W565" s="22"/>
    </row>
    <row r="566" spans="5:23" x14ac:dyDescent="0.25">
      <c r="E566" s="2"/>
      <c r="F566" s="2"/>
      <c r="G566" s="2"/>
      <c r="H566" s="22"/>
      <c r="L566" s="2"/>
      <c r="M566" s="2"/>
      <c r="N566" s="2"/>
      <c r="O566" s="2"/>
      <c r="P566" s="2"/>
      <c r="Q566" s="22"/>
      <c r="R566" s="22"/>
      <c r="U566" s="71"/>
      <c r="V566" s="71"/>
      <c r="W566" s="22"/>
    </row>
    <row r="567" spans="5:23" x14ac:dyDescent="0.25">
      <c r="E567" s="2"/>
      <c r="F567" s="2"/>
      <c r="G567" s="2"/>
      <c r="H567" s="22"/>
      <c r="L567" s="2"/>
      <c r="M567" s="2"/>
      <c r="N567" s="2"/>
      <c r="O567" s="2"/>
      <c r="P567" s="2"/>
      <c r="Q567" s="22"/>
      <c r="R567" s="22"/>
      <c r="U567" s="71"/>
      <c r="V567" s="71"/>
      <c r="W567" s="22"/>
    </row>
    <row r="568" spans="5:23" x14ac:dyDescent="0.25">
      <c r="E568" s="2"/>
      <c r="F568" s="2"/>
      <c r="G568" s="2"/>
      <c r="H568" s="22"/>
      <c r="L568" s="2"/>
      <c r="M568" s="2"/>
      <c r="N568" s="2"/>
      <c r="O568" s="2"/>
      <c r="P568" s="2"/>
      <c r="Q568" s="22"/>
      <c r="R568" s="22"/>
      <c r="U568" s="71"/>
      <c r="V568" s="71"/>
      <c r="W568" s="22"/>
    </row>
    <row r="569" spans="5:23" x14ac:dyDescent="0.25">
      <c r="E569" s="2"/>
      <c r="F569" s="2"/>
      <c r="G569" s="2"/>
      <c r="H569" s="22"/>
      <c r="L569" s="2"/>
      <c r="M569" s="2"/>
      <c r="N569" s="2"/>
      <c r="O569" s="2"/>
      <c r="P569" s="2"/>
      <c r="Q569" s="22"/>
      <c r="R569" s="22"/>
      <c r="U569" s="71"/>
      <c r="V569" s="71"/>
      <c r="W569" s="22"/>
    </row>
    <row r="570" spans="5:23" x14ac:dyDescent="0.25">
      <c r="E570" s="2"/>
      <c r="F570" s="2"/>
      <c r="G570" s="2"/>
      <c r="H570" s="22"/>
      <c r="L570" s="2"/>
      <c r="M570" s="2"/>
      <c r="N570" s="2"/>
      <c r="O570" s="2"/>
      <c r="P570" s="2"/>
      <c r="Q570" s="22"/>
      <c r="R570" s="22"/>
      <c r="U570" s="71"/>
      <c r="V570" s="71"/>
      <c r="W570" s="22"/>
    </row>
    <row r="571" spans="5:23" x14ac:dyDescent="0.25">
      <c r="E571" s="2"/>
      <c r="F571" s="2"/>
      <c r="G571" s="2"/>
      <c r="H571" s="22"/>
      <c r="L571" s="2"/>
      <c r="M571" s="2"/>
      <c r="N571" s="2"/>
      <c r="O571" s="2"/>
      <c r="P571" s="2"/>
      <c r="Q571" s="22"/>
      <c r="R571" s="22"/>
      <c r="U571" s="71"/>
      <c r="V571" s="71"/>
      <c r="W571" s="22"/>
    </row>
    <row r="572" spans="5:23" x14ac:dyDescent="0.25">
      <c r="E572" s="2"/>
      <c r="F572" s="2"/>
      <c r="G572" s="2"/>
      <c r="H572" s="22"/>
      <c r="L572" s="2"/>
      <c r="M572" s="2"/>
      <c r="N572" s="2"/>
      <c r="O572" s="2"/>
      <c r="P572" s="2"/>
      <c r="Q572" s="22"/>
      <c r="R572" s="22"/>
      <c r="U572" s="71"/>
      <c r="V572" s="71"/>
      <c r="W572" s="22"/>
    </row>
    <row r="573" spans="5:23" x14ac:dyDescent="0.25">
      <c r="E573" s="2"/>
      <c r="F573" s="2"/>
      <c r="G573" s="2"/>
      <c r="H573" s="22"/>
      <c r="L573" s="2"/>
      <c r="M573" s="2"/>
      <c r="N573" s="2"/>
      <c r="O573" s="2"/>
      <c r="P573" s="2"/>
      <c r="Q573" s="22"/>
      <c r="R573" s="22"/>
      <c r="U573" s="71"/>
      <c r="V573" s="71"/>
      <c r="W573" s="22"/>
    </row>
    <row r="574" spans="5:23" x14ac:dyDescent="0.25">
      <c r="E574" s="2"/>
      <c r="F574" s="2"/>
      <c r="G574" s="2"/>
      <c r="H574" s="22"/>
      <c r="L574" s="2"/>
      <c r="M574" s="2"/>
      <c r="N574" s="2"/>
      <c r="O574" s="2"/>
      <c r="P574" s="2"/>
      <c r="Q574" s="22"/>
      <c r="R574" s="22"/>
      <c r="U574" s="71"/>
      <c r="V574" s="71"/>
      <c r="W574" s="22"/>
    </row>
    <row r="575" spans="5:23" x14ac:dyDescent="0.25">
      <c r="E575" s="2"/>
      <c r="F575" s="2"/>
      <c r="G575" s="2"/>
      <c r="H575" s="22"/>
      <c r="L575" s="2"/>
      <c r="M575" s="2"/>
      <c r="N575" s="2"/>
      <c r="O575" s="2"/>
      <c r="P575" s="2"/>
      <c r="Q575" s="22"/>
      <c r="R575" s="22"/>
      <c r="U575" s="71"/>
      <c r="V575" s="71"/>
      <c r="W575" s="22"/>
    </row>
    <row r="576" spans="5:23" x14ac:dyDescent="0.25">
      <c r="E576" s="2"/>
      <c r="F576" s="2"/>
      <c r="G576" s="2"/>
      <c r="H576" s="22"/>
      <c r="L576" s="2"/>
      <c r="M576" s="2"/>
      <c r="N576" s="2"/>
      <c r="O576" s="2"/>
      <c r="P576" s="2"/>
      <c r="Q576" s="22"/>
      <c r="R576" s="22"/>
      <c r="U576" s="71"/>
      <c r="V576" s="71"/>
      <c r="W576" s="22"/>
    </row>
    <row r="577" spans="5:23" x14ac:dyDescent="0.25">
      <c r="E577" s="2"/>
      <c r="F577" s="2"/>
      <c r="G577" s="2"/>
      <c r="H577" s="22"/>
      <c r="L577" s="2"/>
      <c r="M577" s="2"/>
      <c r="N577" s="2"/>
      <c r="O577" s="2"/>
      <c r="P577" s="2"/>
      <c r="Q577" s="22"/>
      <c r="R577" s="22"/>
      <c r="U577" s="71"/>
      <c r="V577" s="71"/>
      <c r="W577" s="22"/>
    </row>
    <row r="578" spans="5:23" x14ac:dyDescent="0.25">
      <c r="E578" s="2"/>
      <c r="F578" s="2"/>
      <c r="G578" s="2"/>
      <c r="H578" s="22"/>
      <c r="L578" s="2"/>
      <c r="M578" s="2"/>
      <c r="N578" s="2"/>
      <c r="O578" s="2"/>
      <c r="P578" s="2"/>
      <c r="Q578" s="22"/>
      <c r="R578" s="22"/>
      <c r="U578" s="71"/>
      <c r="V578" s="71"/>
      <c r="W578" s="22"/>
    </row>
    <row r="579" spans="5:23" x14ac:dyDescent="0.25">
      <c r="E579" s="2"/>
      <c r="F579" s="2"/>
      <c r="G579" s="2"/>
      <c r="H579" s="22"/>
      <c r="L579" s="2"/>
      <c r="M579" s="2"/>
      <c r="N579" s="2"/>
      <c r="O579" s="2"/>
      <c r="P579" s="2"/>
      <c r="Q579" s="22"/>
      <c r="R579" s="22"/>
      <c r="U579" s="71"/>
      <c r="V579" s="71"/>
      <c r="W579" s="22"/>
    </row>
    <row r="580" spans="5:23" x14ac:dyDescent="0.25">
      <c r="E580" s="2"/>
      <c r="F580" s="2"/>
      <c r="G580" s="2"/>
      <c r="H580" s="22"/>
      <c r="L580" s="2"/>
      <c r="M580" s="2"/>
      <c r="N580" s="2"/>
      <c r="O580" s="2"/>
      <c r="P580" s="2"/>
      <c r="Q580" s="22"/>
      <c r="R580" s="22"/>
      <c r="U580" s="71"/>
      <c r="V580" s="71"/>
      <c r="W580" s="22"/>
    </row>
    <row r="581" spans="5:23" x14ac:dyDescent="0.25">
      <c r="E581" s="2"/>
      <c r="F581" s="2"/>
      <c r="G581" s="2"/>
      <c r="H581" s="22"/>
      <c r="L581" s="2"/>
      <c r="M581" s="2"/>
      <c r="N581" s="2"/>
      <c r="O581" s="2"/>
      <c r="P581" s="2"/>
      <c r="Q581" s="22"/>
      <c r="R581" s="22"/>
      <c r="U581" s="71"/>
      <c r="V581" s="71"/>
      <c r="W581" s="22"/>
    </row>
    <row r="582" spans="5:23" x14ac:dyDescent="0.25">
      <c r="E582" s="2"/>
      <c r="F582" s="2"/>
      <c r="G582" s="2"/>
      <c r="H582" s="22"/>
      <c r="L582" s="2"/>
      <c r="M582" s="2"/>
      <c r="N582" s="2"/>
      <c r="O582" s="2"/>
      <c r="P582" s="2"/>
      <c r="Q582" s="22"/>
      <c r="R582" s="22"/>
      <c r="U582" s="71"/>
      <c r="V582" s="71"/>
      <c r="W582" s="22"/>
    </row>
    <row r="583" spans="5:23" x14ac:dyDescent="0.25">
      <c r="E583" s="2"/>
      <c r="F583" s="2"/>
      <c r="G583" s="2"/>
      <c r="H583" s="22"/>
      <c r="L583" s="2"/>
      <c r="M583" s="2"/>
      <c r="N583" s="2"/>
      <c r="O583" s="2"/>
      <c r="P583" s="2"/>
      <c r="Q583" s="22"/>
      <c r="R583" s="22"/>
      <c r="U583" s="71"/>
      <c r="V583" s="71"/>
      <c r="W583" s="22"/>
    </row>
    <row r="584" spans="5:23" x14ac:dyDescent="0.25">
      <c r="E584" s="2"/>
      <c r="F584" s="2"/>
      <c r="G584" s="2"/>
      <c r="H584" s="22"/>
      <c r="L584" s="2"/>
      <c r="M584" s="2"/>
      <c r="N584" s="2"/>
      <c r="O584" s="2"/>
      <c r="P584" s="2"/>
      <c r="Q584" s="22"/>
      <c r="R584" s="22"/>
      <c r="U584" s="71"/>
      <c r="V584" s="71"/>
      <c r="W584" s="22"/>
    </row>
    <row r="585" spans="5:23" x14ac:dyDescent="0.25">
      <c r="E585" s="2"/>
      <c r="F585" s="2"/>
      <c r="G585" s="2"/>
      <c r="H585" s="22"/>
      <c r="L585" s="2"/>
      <c r="M585" s="2"/>
      <c r="N585" s="2"/>
      <c r="O585" s="2"/>
      <c r="P585" s="2"/>
      <c r="Q585" s="22"/>
      <c r="R585" s="22"/>
      <c r="U585" s="71"/>
      <c r="V585" s="71"/>
      <c r="W585" s="22"/>
    </row>
    <row r="586" spans="5:23" x14ac:dyDescent="0.25">
      <c r="E586" s="2"/>
      <c r="F586" s="2"/>
      <c r="G586" s="2"/>
      <c r="H586" s="22"/>
      <c r="L586" s="2"/>
      <c r="M586" s="2"/>
      <c r="N586" s="2"/>
      <c r="O586" s="2"/>
      <c r="P586" s="2"/>
      <c r="Q586" s="22"/>
      <c r="R586" s="22"/>
      <c r="U586" s="71"/>
      <c r="V586" s="71"/>
      <c r="W586" s="22"/>
    </row>
    <row r="587" spans="5:23" x14ac:dyDescent="0.25">
      <c r="E587" s="2"/>
      <c r="F587" s="2"/>
      <c r="G587" s="2"/>
      <c r="H587" s="22"/>
      <c r="L587" s="2"/>
      <c r="M587" s="2"/>
      <c r="N587" s="2"/>
      <c r="O587" s="2"/>
      <c r="P587" s="2"/>
      <c r="Q587" s="22"/>
      <c r="R587" s="22"/>
      <c r="U587" s="71"/>
      <c r="V587" s="71"/>
      <c r="W587" s="22"/>
    </row>
    <row r="588" spans="5:23" x14ac:dyDescent="0.25">
      <c r="E588" s="2"/>
      <c r="F588" s="2"/>
      <c r="G588" s="2"/>
      <c r="H588" s="22"/>
      <c r="L588" s="2"/>
      <c r="M588" s="2"/>
      <c r="N588" s="2"/>
      <c r="O588" s="2"/>
      <c r="P588" s="2"/>
      <c r="Q588" s="22"/>
      <c r="R588" s="22"/>
      <c r="U588" s="71"/>
      <c r="V588" s="71"/>
      <c r="W588" s="22"/>
    </row>
    <row r="589" spans="5:23" x14ac:dyDescent="0.25">
      <c r="E589" s="2"/>
      <c r="F589" s="2"/>
      <c r="G589" s="2"/>
      <c r="H589" s="22"/>
      <c r="L589" s="2"/>
      <c r="M589" s="2"/>
      <c r="N589" s="2"/>
      <c r="O589" s="2"/>
      <c r="P589" s="2"/>
      <c r="Q589" s="22"/>
      <c r="R589" s="22"/>
      <c r="U589" s="71"/>
      <c r="V589" s="71"/>
      <c r="W589" s="22"/>
    </row>
    <row r="590" spans="5:23" x14ac:dyDescent="0.25">
      <c r="E590" s="2"/>
      <c r="F590" s="2"/>
      <c r="G590" s="2"/>
      <c r="H590" s="22"/>
      <c r="L590" s="2"/>
      <c r="M590" s="2"/>
      <c r="N590" s="2"/>
      <c r="O590" s="2"/>
      <c r="P590" s="2"/>
      <c r="Q590" s="22"/>
      <c r="R590" s="22"/>
      <c r="U590" s="71"/>
      <c r="V590" s="71"/>
      <c r="W590" s="22"/>
    </row>
    <row r="591" spans="5:23" x14ac:dyDescent="0.25">
      <c r="E591" s="2"/>
      <c r="F591" s="2"/>
      <c r="G591" s="2"/>
      <c r="H591" s="22"/>
      <c r="L591" s="2"/>
      <c r="M591" s="2"/>
      <c r="N591" s="2"/>
      <c r="O591" s="2"/>
      <c r="P591" s="2"/>
      <c r="Q591" s="22"/>
      <c r="R591" s="22"/>
      <c r="U591" s="71"/>
      <c r="V591" s="71"/>
      <c r="W591" s="22"/>
    </row>
    <row r="592" spans="5:23" x14ac:dyDescent="0.25">
      <c r="E592" s="2"/>
      <c r="F592" s="2"/>
      <c r="G592" s="2"/>
      <c r="H592" s="22"/>
      <c r="L592" s="2"/>
      <c r="M592" s="2"/>
      <c r="N592" s="2"/>
      <c r="O592" s="2"/>
      <c r="P592" s="2"/>
      <c r="Q592" s="22"/>
      <c r="R592" s="22"/>
      <c r="U592" s="71"/>
      <c r="V592" s="71"/>
      <c r="W592" s="22"/>
    </row>
    <row r="593" spans="5:23" x14ac:dyDescent="0.25">
      <c r="E593" s="2"/>
      <c r="F593" s="2"/>
      <c r="G593" s="2"/>
      <c r="H593" s="22"/>
      <c r="L593" s="2"/>
      <c r="M593" s="2"/>
      <c r="N593" s="2"/>
      <c r="O593" s="2"/>
      <c r="P593" s="2"/>
      <c r="Q593" s="22"/>
      <c r="R593" s="22"/>
      <c r="U593" s="71"/>
      <c r="V593" s="71"/>
      <c r="W593" s="22"/>
    </row>
    <row r="594" spans="5:23" x14ac:dyDescent="0.25">
      <c r="E594" s="2"/>
      <c r="F594" s="2"/>
      <c r="G594" s="2"/>
      <c r="H594" s="22"/>
      <c r="L594" s="2"/>
      <c r="M594" s="2"/>
      <c r="N594" s="2"/>
      <c r="O594" s="2"/>
      <c r="P594" s="2"/>
      <c r="Q594" s="22"/>
      <c r="R594" s="22"/>
      <c r="U594" s="71"/>
      <c r="V594" s="71"/>
      <c r="W594" s="22"/>
    </row>
    <row r="595" spans="5:23" x14ac:dyDescent="0.25">
      <c r="E595" s="2"/>
      <c r="F595" s="2"/>
      <c r="G595" s="2"/>
      <c r="H595" s="22"/>
      <c r="L595" s="2"/>
      <c r="M595" s="2"/>
      <c r="N595" s="2"/>
      <c r="O595" s="2"/>
      <c r="P595" s="2"/>
      <c r="Q595" s="22"/>
      <c r="R595" s="22"/>
      <c r="U595" s="71"/>
      <c r="V595" s="71"/>
      <c r="W595" s="22"/>
    </row>
    <row r="596" spans="5:23" x14ac:dyDescent="0.25">
      <c r="E596" s="2"/>
      <c r="F596" s="2"/>
      <c r="G596" s="2"/>
      <c r="H596" s="22"/>
      <c r="L596" s="2"/>
      <c r="M596" s="2"/>
      <c r="N596" s="2"/>
      <c r="O596" s="2"/>
      <c r="P596" s="2"/>
      <c r="Q596" s="22"/>
      <c r="R596" s="22"/>
      <c r="U596" s="71"/>
      <c r="V596" s="71"/>
      <c r="W596" s="22"/>
    </row>
    <row r="597" spans="5:23" x14ac:dyDescent="0.25">
      <c r="E597" s="2"/>
      <c r="F597" s="2"/>
      <c r="G597" s="2"/>
      <c r="H597" s="22"/>
      <c r="L597" s="2"/>
      <c r="M597" s="2"/>
      <c r="N597" s="2"/>
      <c r="O597" s="2"/>
      <c r="P597" s="2"/>
      <c r="Q597" s="22"/>
      <c r="R597" s="22"/>
      <c r="U597" s="71"/>
      <c r="V597" s="71"/>
      <c r="W597" s="22"/>
    </row>
    <row r="598" spans="5:23" x14ac:dyDescent="0.25">
      <c r="E598" s="2"/>
      <c r="F598" s="2"/>
      <c r="G598" s="2"/>
      <c r="H598" s="22"/>
      <c r="L598" s="2"/>
      <c r="M598" s="2"/>
      <c r="N598" s="2"/>
      <c r="O598" s="2"/>
      <c r="P598" s="2"/>
      <c r="Q598" s="22"/>
      <c r="R598" s="22"/>
      <c r="U598" s="71"/>
      <c r="V598" s="71"/>
      <c r="W598" s="22"/>
    </row>
    <row r="599" spans="5:23" x14ac:dyDescent="0.25">
      <c r="E599" s="2"/>
      <c r="F599" s="2"/>
      <c r="G599" s="2"/>
      <c r="H599" s="22"/>
      <c r="L599" s="2"/>
      <c r="M599" s="2"/>
      <c r="N599" s="2"/>
      <c r="O599" s="2"/>
      <c r="P599" s="2"/>
      <c r="Q599" s="22"/>
      <c r="R599" s="22"/>
      <c r="U599" s="71"/>
      <c r="V599" s="71"/>
      <c r="W599" s="22"/>
    </row>
    <row r="600" spans="5:23" x14ac:dyDescent="0.25">
      <c r="E600" s="2"/>
      <c r="F600" s="2"/>
      <c r="G600" s="2"/>
      <c r="H600" s="22"/>
      <c r="L600" s="2"/>
      <c r="M600" s="2"/>
      <c r="N600" s="2"/>
      <c r="O600" s="2"/>
      <c r="P600" s="2"/>
      <c r="Q600" s="22"/>
      <c r="R600" s="22"/>
      <c r="U600" s="71"/>
      <c r="V600" s="71"/>
      <c r="W600" s="22"/>
    </row>
    <row r="601" spans="5:23" x14ac:dyDescent="0.25">
      <c r="E601" s="2"/>
      <c r="F601" s="2"/>
      <c r="G601" s="2"/>
      <c r="H601" s="22"/>
      <c r="L601" s="2"/>
      <c r="M601" s="2"/>
      <c r="N601" s="2"/>
      <c r="O601" s="2"/>
      <c r="P601" s="2"/>
      <c r="Q601" s="22"/>
      <c r="R601" s="22"/>
      <c r="U601" s="71"/>
      <c r="V601" s="71"/>
      <c r="W601" s="22"/>
    </row>
    <row r="602" spans="5:23" x14ac:dyDescent="0.25">
      <c r="E602" s="2"/>
      <c r="F602" s="2"/>
      <c r="G602" s="2"/>
      <c r="H602" s="22"/>
      <c r="L602" s="2"/>
      <c r="M602" s="2"/>
      <c r="N602" s="2"/>
      <c r="O602" s="2"/>
      <c r="P602" s="2"/>
      <c r="Q602" s="22"/>
      <c r="R602" s="22"/>
      <c r="U602" s="71"/>
      <c r="V602" s="71"/>
      <c r="W602" s="22"/>
    </row>
    <row r="603" spans="5:23" x14ac:dyDescent="0.25">
      <c r="E603" s="2"/>
      <c r="F603" s="2"/>
      <c r="G603" s="2"/>
      <c r="H603" s="22"/>
      <c r="L603" s="2"/>
      <c r="M603" s="2"/>
      <c r="N603" s="2"/>
      <c r="O603" s="2"/>
      <c r="P603" s="2"/>
      <c r="Q603" s="22"/>
      <c r="R603" s="22"/>
      <c r="U603" s="71"/>
      <c r="V603" s="71"/>
      <c r="W603" s="22"/>
    </row>
    <row r="604" spans="5:23" x14ac:dyDescent="0.25">
      <c r="E604" s="2"/>
      <c r="F604" s="2"/>
      <c r="G604" s="2"/>
      <c r="H604" s="22"/>
      <c r="L604" s="2"/>
      <c r="M604" s="2"/>
      <c r="N604" s="2"/>
      <c r="O604" s="2"/>
      <c r="P604" s="2"/>
      <c r="Q604" s="22"/>
      <c r="R604" s="22"/>
      <c r="U604" s="71"/>
      <c r="V604" s="71"/>
      <c r="W604" s="22"/>
    </row>
    <row r="605" spans="5:23" x14ac:dyDescent="0.25">
      <c r="E605" s="2"/>
      <c r="F605" s="2"/>
      <c r="G605" s="2"/>
      <c r="H605" s="22"/>
      <c r="L605" s="2"/>
      <c r="M605" s="2"/>
      <c r="N605" s="2"/>
      <c r="O605" s="2"/>
      <c r="P605" s="2"/>
      <c r="Q605" s="22"/>
      <c r="R605" s="22"/>
      <c r="U605" s="71"/>
      <c r="V605" s="71"/>
      <c r="W605" s="22"/>
    </row>
    <row r="606" spans="5:23" x14ac:dyDescent="0.25">
      <c r="E606" s="2"/>
      <c r="F606" s="2"/>
      <c r="G606" s="2"/>
      <c r="H606" s="22"/>
      <c r="L606" s="2"/>
      <c r="M606" s="2"/>
      <c r="N606" s="2"/>
      <c r="O606" s="2"/>
      <c r="P606" s="2"/>
      <c r="Q606" s="22"/>
      <c r="R606" s="22"/>
      <c r="U606" s="71"/>
      <c r="V606" s="71"/>
      <c r="W606" s="22"/>
    </row>
    <row r="607" spans="5:23" x14ac:dyDescent="0.25">
      <c r="E607" s="2"/>
      <c r="F607" s="2"/>
      <c r="G607" s="2"/>
      <c r="H607" s="22"/>
      <c r="L607" s="2"/>
      <c r="M607" s="2"/>
      <c r="N607" s="2"/>
      <c r="O607" s="2"/>
      <c r="P607" s="2"/>
      <c r="Q607" s="22"/>
      <c r="R607" s="22"/>
      <c r="U607" s="71"/>
      <c r="V607" s="71"/>
      <c r="W607" s="22"/>
    </row>
    <row r="608" spans="5:23" x14ac:dyDescent="0.25">
      <c r="E608" s="2"/>
      <c r="F608" s="2"/>
      <c r="G608" s="2"/>
      <c r="H608" s="22"/>
      <c r="L608" s="2"/>
      <c r="M608" s="2"/>
      <c r="N608" s="2"/>
      <c r="O608" s="2"/>
      <c r="P608" s="2"/>
      <c r="Q608" s="22"/>
      <c r="R608" s="22"/>
      <c r="U608" s="71"/>
      <c r="V608" s="71"/>
      <c r="W608" s="22"/>
    </row>
    <row r="609" spans="5:23" x14ac:dyDescent="0.25">
      <c r="E609" s="2"/>
      <c r="F609" s="2"/>
      <c r="G609" s="2"/>
      <c r="H609" s="22"/>
      <c r="L609" s="2"/>
      <c r="M609" s="2"/>
      <c r="N609" s="2"/>
      <c r="O609" s="2"/>
      <c r="P609" s="2"/>
      <c r="Q609" s="22"/>
      <c r="R609" s="22"/>
      <c r="U609" s="71"/>
      <c r="V609" s="71"/>
      <c r="W609" s="22"/>
    </row>
    <row r="610" spans="5:23" x14ac:dyDescent="0.25">
      <c r="E610" s="2"/>
      <c r="F610" s="2"/>
      <c r="G610" s="2"/>
      <c r="H610" s="22"/>
      <c r="L610" s="2"/>
      <c r="M610" s="2"/>
      <c r="N610" s="2"/>
      <c r="O610" s="2"/>
      <c r="P610" s="2"/>
      <c r="Q610" s="22"/>
      <c r="R610" s="22"/>
      <c r="U610" s="71"/>
      <c r="V610" s="71"/>
      <c r="W610" s="22"/>
    </row>
    <row r="611" spans="5:23" x14ac:dyDescent="0.25">
      <c r="E611" s="2"/>
      <c r="F611" s="2"/>
      <c r="G611" s="2"/>
      <c r="H611" s="22"/>
      <c r="L611" s="2"/>
      <c r="M611" s="2"/>
      <c r="N611" s="2"/>
      <c r="O611" s="2"/>
      <c r="P611" s="2"/>
      <c r="Q611" s="22"/>
      <c r="R611" s="22"/>
      <c r="U611" s="71"/>
      <c r="V611" s="71"/>
      <c r="W611" s="22"/>
    </row>
    <row r="612" spans="5:23" x14ac:dyDescent="0.25">
      <c r="E612" s="2"/>
      <c r="F612" s="2"/>
      <c r="G612" s="2"/>
      <c r="H612" s="22"/>
      <c r="L612" s="2"/>
      <c r="M612" s="2"/>
      <c r="N612" s="2"/>
      <c r="O612" s="2"/>
      <c r="P612" s="2"/>
      <c r="Q612" s="22"/>
      <c r="R612" s="22"/>
      <c r="U612" s="71"/>
      <c r="V612" s="71"/>
      <c r="W612" s="22"/>
    </row>
    <row r="613" spans="5:23" x14ac:dyDescent="0.25">
      <c r="E613" s="2"/>
      <c r="F613" s="2"/>
      <c r="G613" s="2"/>
      <c r="H613" s="22"/>
      <c r="L613" s="2"/>
      <c r="M613" s="2"/>
      <c r="N613" s="2"/>
      <c r="O613" s="2"/>
      <c r="P613" s="2"/>
      <c r="Q613" s="22"/>
      <c r="R613" s="22"/>
      <c r="U613" s="71"/>
      <c r="V613" s="71"/>
      <c r="W613" s="22"/>
    </row>
    <row r="614" spans="5:23" x14ac:dyDescent="0.25">
      <c r="E614" s="2"/>
      <c r="F614" s="2"/>
      <c r="G614" s="2"/>
      <c r="H614" s="22"/>
      <c r="L614" s="2"/>
      <c r="M614" s="2"/>
      <c r="N614" s="2"/>
      <c r="O614" s="2"/>
      <c r="P614" s="2"/>
      <c r="Q614" s="22"/>
      <c r="R614" s="22"/>
      <c r="U614" s="71"/>
      <c r="V614" s="71"/>
      <c r="W614" s="22"/>
    </row>
    <row r="615" spans="5:23" x14ac:dyDescent="0.25">
      <c r="E615" s="2"/>
      <c r="F615" s="2"/>
      <c r="G615" s="2"/>
      <c r="H615" s="22"/>
      <c r="L615" s="2"/>
      <c r="M615" s="2"/>
      <c r="N615" s="2"/>
      <c r="O615" s="2"/>
      <c r="P615" s="2"/>
      <c r="Q615" s="22"/>
      <c r="R615" s="22"/>
      <c r="U615" s="71"/>
      <c r="V615" s="71"/>
      <c r="W615" s="22"/>
    </row>
    <row r="616" spans="5:23" x14ac:dyDescent="0.25">
      <c r="E616" s="2"/>
      <c r="F616" s="2"/>
      <c r="G616" s="2"/>
      <c r="H616" s="22"/>
      <c r="L616" s="2"/>
      <c r="M616" s="2"/>
      <c r="N616" s="2"/>
      <c r="O616" s="2"/>
      <c r="P616" s="2"/>
      <c r="Q616" s="22"/>
      <c r="R616" s="22"/>
      <c r="U616" s="71"/>
      <c r="V616" s="71"/>
      <c r="W616" s="22"/>
    </row>
    <row r="617" spans="5:23" x14ac:dyDescent="0.25">
      <c r="E617" s="2"/>
      <c r="F617" s="2"/>
      <c r="G617" s="2"/>
      <c r="H617" s="22"/>
      <c r="L617" s="2"/>
      <c r="M617" s="2"/>
      <c r="N617" s="2"/>
      <c r="O617" s="2"/>
      <c r="P617" s="2"/>
      <c r="Q617" s="22"/>
      <c r="R617" s="22"/>
      <c r="U617" s="71"/>
      <c r="V617" s="71"/>
      <c r="W617" s="22"/>
    </row>
    <row r="618" spans="5:23" x14ac:dyDescent="0.25">
      <c r="E618" s="2"/>
      <c r="F618" s="2"/>
      <c r="G618" s="2"/>
      <c r="H618" s="22"/>
      <c r="L618" s="2"/>
      <c r="M618" s="2"/>
      <c r="N618" s="2"/>
      <c r="O618" s="2"/>
      <c r="P618" s="2"/>
      <c r="Q618" s="22"/>
      <c r="R618" s="22"/>
      <c r="U618" s="71"/>
      <c r="V618" s="71"/>
      <c r="W618" s="22"/>
    </row>
    <row r="619" spans="5:23" x14ac:dyDescent="0.25">
      <c r="E619" s="2"/>
      <c r="F619" s="2"/>
      <c r="G619" s="2"/>
      <c r="H619" s="22"/>
      <c r="L619" s="2"/>
      <c r="M619" s="2"/>
      <c r="N619" s="2"/>
      <c r="O619" s="2"/>
      <c r="P619" s="2"/>
      <c r="Q619" s="22"/>
      <c r="R619" s="22"/>
      <c r="U619" s="71"/>
      <c r="V619" s="71"/>
      <c r="W619" s="22"/>
    </row>
    <row r="620" spans="5:23" x14ac:dyDescent="0.25">
      <c r="E620" s="2"/>
      <c r="F620" s="2"/>
      <c r="G620" s="2"/>
      <c r="H620" s="22"/>
      <c r="L620" s="2"/>
      <c r="M620" s="2"/>
      <c r="N620" s="2"/>
      <c r="O620" s="2"/>
      <c r="P620" s="2"/>
      <c r="Q620" s="22"/>
      <c r="R620" s="22"/>
      <c r="U620" s="71"/>
      <c r="V620" s="71"/>
      <c r="W620" s="22"/>
    </row>
    <row r="621" spans="5:23" x14ac:dyDescent="0.25">
      <c r="E621" s="2"/>
      <c r="F621" s="2"/>
      <c r="G621" s="2"/>
      <c r="H621" s="22"/>
      <c r="L621" s="2"/>
      <c r="M621" s="2"/>
      <c r="N621" s="2"/>
      <c r="O621" s="2"/>
      <c r="P621" s="2"/>
      <c r="Q621" s="22"/>
      <c r="R621" s="22"/>
      <c r="U621" s="71"/>
      <c r="V621" s="71"/>
      <c r="W621" s="22"/>
    </row>
    <row r="622" spans="5:23" x14ac:dyDescent="0.25">
      <c r="E622" s="2"/>
      <c r="F622" s="2"/>
      <c r="G622" s="2"/>
      <c r="H622" s="22"/>
      <c r="L622" s="2"/>
      <c r="M622" s="2"/>
      <c r="N622" s="2"/>
      <c r="O622" s="2"/>
      <c r="P622" s="2"/>
      <c r="Q622" s="22"/>
      <c r="R622" s="22"/>
      <c r="U622" s="71"/>
      <c r="V622" s="71"/>
      <c r="W622" s="22"/>
    </row>
    <row r="623" spans="5:23" x14ac:dyDescent="0.25">
      <c r="E623" s="2"/>
      <c r="F623" s="2"/>
      <c r="G623" s="2"/>
      <c r="H623" s="22"/>
      <c r="L623" s="2"/>
      <c r="M623" s="2"/>
      <c r="N623" s="2"/>
      <c r="O623" s="2"/>
      <c r="P623" s="2"/>
      <c r="Q623" s="22"/>
      <c r="R623" s="22"/>
      <c r="U623" s="71"/>
      <c r="V623" s="71"/>
      <c r="W623" s="22"/>
    </row>
    <row r="624" spans="5:23" x14ac:dyDescent="0.25">
      <c r="E624" s="2"/>
      <c r="F624" s="2"/>
      <c r="G624" s="2"/>
      <c r="H624" s="22"/>
      <c r="L624" s="2"/>
      <c r="M624" s="2"/>
      <c r="N624" s="2"/>
      <c r="O624" s="2"/>
      <c r="P624" s="2"/>
      <c r="Q624" s="22"/>
      <c r="R624" s="22"/>
      <c r="U624" s="71"/>
      <c r="V624" s="71"/>
      <c r="W624" s="22"/>
    </row>
    <row r="625" spans="5:23" x14ac:dyDescent="0.25">
      <c r="E625" s="2"/>
      <c r="F625" s="2"/>
      <c r="G625" s="2"/>
      <c r="H625" s="22"/>
      <c r="L625" s="2"/>
      <c r="M625" s="2"/>
      <c r="N625" s="2"/>
      <c r="O625" s="2"/>
      <c r="P625" s="2"/>
      <c r="Q625" s="22"/>
      <c r="R625" s="22"/>
      <c r="U625" s="71"/>
      <c r="V625" s="71"/>
      <c r="W625" s="22"/>
    </row>
    <row r="626" spans="5:23" x14ac:dyDescent="0.25">
      <c r="E626" s="2"/>
      <c r="F626" s="2"/>
      <c r="G626" s="2"/>
      <c r="H626" s="22"/>
      <c r="L626" s="2"/>
      <c r="M626" s="2"/>
      <c r="N626" s="2"/>
      <c r="O626" s="2"/>
      <c r="P626" s="2"/>
      <c r="Q626" s="22"/>
      <c r="R626" s="22"/>
      <c r="U626" s="71"/>
      <c r="V626" s="71"/>
      <c r="W626" s="22"/>
    </row>
    <row r="627" spans="5:23" x14ac:dyDescent="0.25">
      <c r="E627" s="2"/>
      <c r="F627" s="2"/>
      <c r="G627" s="2"/>
      <c r="H627" s="22"/>
      <c r="L627" s="2"/>
      <c r="M627" s="2"/>
      <c r="N627" s="2"/>
      <c r="O627" s="2"/>
      <c r="P627" s="2"/>
      <c r="Q627" s="22"/>
      <c r="R627" s="22"/>
      <c r="U627" s="71"/>
      <c r="V627" s="71"/>
      <c r="W627" s="22"/>
    </row>
    <row r="628" spans="5:23" x14ac:dyDescent="0.25">
      <c r="E628" s="2"/>
      <c r="F628" s="2"/>
      <c r="G628" s="2"/>
      <c r="H628" s="22"/>
      <c r="L628" s="2"/>
      <c r="M628" s="2"/>
      <c r="N628" s="2"/>
      <c r="O628" s="2"/>
      <c r="P628" s="2"/>
      <c r="Q628" s="22"/>
      <c r="R628" s="22"/>
      <c r="U628" s="71"/>
      <c r="V628" s="71"/>
      <c r="W628" s="22"/>
    </row>
    <row r="629" spans="5:23" x14ac:dyDescent="0.25">
      <c r="E629" s="2"/>
      <c r="F629" s="2"/>
      <c r="G629" s="2"/>
      <c r="H629" s="22"/>
      <c r="L629" s="2"/>
      <c r="M629" s="2"/>
      <c r="N629" s="2"/>
      <c r="O629" s="2"/>
      <c r="P629" s="2"/>
      <c r="Q629" s="22"/>
      <c r="R629" s="22"/>
      <c r="U629" s="71"/>
      <c r="V629" s="71"/>
      <c r="W629" s="22"/>
    </row>
    <row r="630" spans="5:23" x14ac:dyDescent="0.25">
      <c r="E630" s="2"/>
      <c r="F630" s="2"/>
      <c r="G630" s="2"/>
      <c r="H630" s="22"/>
      <c r="L630" s="2"/>
      <c r="M630" s="2"/>
      <c r="N630" s="2"/>
      <c r="O630" s="2"/>
      <c r="P630" s="2"/>
      <c r="Q630" s="22"/>
      <c r="R630" s="22"/>
      <c r="U630" s="71"/>
      <c r="V630" s="71"/>
      <c r="W630" s="22"/>
    </row>
    <row r="631" spans="5:23" x14ac:dyDescent="0.25">
      <c r="E631" s="2"/>
      <c r="F631" s="2"/>
      <c r="G631" s="2"/>
      <c r="H631" s="22"/>
      <c r="L631" s="2"/>
      <c r="M631" s="2"/>
      <c r="N631" s="2"/>
      <c r="O631" s="2"/>
      <c r="P631" s="2"/>
      <c r="Q631" s="22"/>
      <c r="R631" s="22"/>
      <c r="U631" s="71"/>
      <c r="V631" s="71"/>
      <c r="W631" s="22"/>
    </row>
    <row r="632" spans="5:23" x14ac:dyDescent="0.25">
      <c r="E632" s="2"/>
      <c r="F632" s="2"/>
      <c r="G632" s="2"/>
      <c r="H632" s="22"/>
      <c r="L632" s="2"/>
      <c r="M632" s="2"/>
      <c r="N632" s="2"/>
      <c r="O632" s="2"/>
      <c r="P632" s="2"/>
      <c r="Q632" s="22"/>
      <c r="R632" s="22"/>
      <c r="U632" s="71"/>
      <c r="V632" s="71"/>
      <c r="W632" s="22"/>
    </row>
    <row r="633" spans="5:23" x14ac:dyDescent="0.25">
      <c r="E633" s="2"/>
      <c r="F633" s="2"/>
      <c r="G633" s="2"/>
      <c r="H633" s="22"/>
      <c r="L633" s="2"/>
      <c r="M633" s="2"/>
      <c r="N633" s="2"/>
      <c r="O633" s="2"/>
      <c r="P633" s="2"/>
      <c r="Q633" s="22"/>
      <c r="R633" s="22"/>
      <c r="U633" s="71"/>
      <c r="V633" s="71"/>
      <c r="W633" s="22"/>
    </row>
    <row r="634" spans="5:23" x14ac:dyDescent="0.25">
      <c r="E634" s="2"/>
      <c r="F634" s="2"/>
      <c r="G634" s="2"/>
      <c r="H634" s="22"/>
      <c r="L634" s="2"/>
      <c r="M634" s="2"/>
      <c r="N634" s="2"/>
      <c r="O634" s="2"/>
      <c r="P634" s="2"/>
      <c r="Q634" s="22"/>
      <c r="R634" s="22"/>
      <c r="U634" s="71"/>
      <c r="V634" s="71"/>
      <c r="W634" s="22"/>
    </row>
    <row r="635" spans="5:23" x14ac:dyDescent="0.25">
      <c r="E635" s="2"/>
      <c r="F635" s="2"/>
      <c r="G635" s="2"/>
      <c r="H635" s="22"/>
      <c r="L635" s="2"/>
      <c r="M635" s="2"/>
      <c r="N635" s="2"/>
      <c r="O635" s="2"/>
      <c r="P635" s="2"/>
      <c r="Q635" s="22"/>
      <c r="R635" s="22"/>
      <c r="U635" s="71"/>
      <c r="V635" s="71"/>
      <c r="W635" s="22"/>
    </row>
    <row r="636" spans="5:23" x14ac:dyDescent="0.25">
      <c r="E636" s="2"/>
      <c r="F636" s="2"/>
      <c r="G636" s="2"/>
      <c r="H636" s="22"/>
      <c r="L636" s="2"/>
      <c r="M636" s="2"/>
      <c r="N636" s="2"/>
      <c r="O636" s="2"/>
      <c r="P636" s="2"/>
      <c r="Q636" s="22"/>
      <c r="R636" s="22"/>
      <c r="U636" s="71"/>
      <c r="V636" s="71"/>
      <c r="W636" s="22"/>
    </row>
    <row r="637" spans="5:23" x14ac:dyDescent="0.25">
      <c r="E637" s="2"/>
      <c r="F637" s="2"/>
      <c r="G637" s="2"/>
      <c r="H637" s="22"/>
      <c r="L637" s="2"/>
      <c r="M637" s="2"/>
      <c r="N637" s="2"/>
      <c r="O637" s="2"/>
      <c r="P637" s="2"/>
      <c r="Q637" s="22"/>
      <c r="R637" s="22"/>
      <c r="U637" s="71"/>
      <c r="V637" s="71"/>
      <c r="W637" s="22"/>
    </row>
    <row r="638" spans="5:23" x14ac:dyDescent="0.25">
      <c r="E638" s="2"/>
      <c r="F638" s="2"/>
      <c r="G638" s="2"/>
      <c r="H638" s="22"/>
      <c r="L638" s="2"/>
      <c r="M638" s="2"/>
      <c r="N638" s="2"/>
      <c r="O638" s="2"/>
      <c r="P638" s="2"/>
      <c r="Q638" s="22"/>
      <c r="R638" s="22"/>
      <c r="U638" s="71"/>
      <c r="V638" s="71"/>
      <c r="W638" s="22"/>
    </row>
    <row r="639" spans="5:23" x14ac:dyDescent="0.25">
      <c r="E639" s="2"/>
      <c r="F639" s="2"/>
      <c r="G639" s="2"/>
      <c r="H639" s="22"/>
      <c r="L639" s="2"/>
      <c r="M639" s="2"/>
      <c r="N639" s="2"/>
      <c r="O639" s="2"/>
      <c r="P639" s="2"/>
      <c r="Q639" s="22"/>
      <c r="R639" s="22"/>
      <c r="U639" s="71"/>
      <c r="V639" s="71"/>
      <c r="W639" s="22"/>
    </row>
    <row r="640" spans="5:23" x14ac:dyDescent="0.25">
      <c r="E640" s="2"/>
      <c r="F640" s="2"/>
      <c r="G640" s="2"/>
      <c r="H640" s="22"/>
      <c r="L640" s="2"/>
      <c r="M640" s="2"/>
      <c r="N640" s="2"/>
      <c r="O640" s="2"/>
      <c r="P640" s="2"/>
      <c r="Q640" s="22"/>
      <c r="R640" s="22"/>
      <c r="U640" s="71"/>
      <c r="V640" s="71"/>
      <c r="W640" s="22"/>
    </row>
    <row r="641" spans="5:23" x14ac:dyDescent="0.25">
      <c r="E641" s="2"/>
      <c r="F641" s="2"/>
      <c r="G641" s="2"/>
      <c r="H641" s="22"/>
      <c r="L641" s="2"/>
      <c r="M641" s="2"/>
      <c r="N641" s="2"/>
      <c r="O641" s="2"/>
      <c r="P641" s="2"/>
      <c r="Q641" s="22"/>
      <c r="R641" s="22"/>
      <c r="U641" s="71"/>
      <c r="V641" s="71"/>
      <c r="W641" s="22"/>
    </row>
    <row r="642" spans="5:23" x14ac:dyDescent="0.25">
      <c r="E642" s="2"/>
      <c r="F642" s="2"/>
      <c r="G642" s="2"/>
      <c r="H642" s="22"/>
      <c r="L642" s="2"/>
      <c r="M642" s="2"/>
      <c r="N642" s="2"/>
      <c r="O642" s="2"/>
      <c r="P642" s="2"/>
      <c r="Q642" s="22"/>
      <c r="R642" s="22"/>
      <c r="U642" s="71"/>
      <c r="V642" s="71"/>
      <c r="W642" s="22"/>
    </row>
    <row r="643" spans="5:23" x14ac:dyDescent="0.25">
      <c r="E643" s="2"/>
      <c r="F643" s="2"/>
      <c r="G643" s="2"/>
      <c r="H643" s="22"/>
      <c r="L643" s="2"/>
      <c r="M643" s="2"/>
      <c r="N643" s="2"/>
      <c r="O643" s="2"/>
      <c r="P643" s="2"/>
      <c r="Q643" s="22"/>
      <c r="R643" s="22"/>
      <c r="U643" s="71"/>
      <c r="V643" s="71"/>
      <c r="W643" s="22"/>
    </row>
    <row r="644" spans="5:23" x14ac:dyDescent="0.25">
      <c r="E644" s="2"/>
      <c r="F644" s="2"/>
      <c r="G644" s="2"/>
      <c r="H644" s="22"/>
      <c r="L644" s="2"/>
      <c r="M644" s="2"/>
      <c r="N644" s="2"/>
      <c r="O644" s="2"/>
      <c r="P644" s="2"/>
      <c r="Q644" s="22"/>
      <c r="R644" s="22"/>
      <c r="U644" s="71"/>
      <c r="V644" s="71"/>
      <c r="W644" s="22"/>
    </row>
    <row r="645" spans="5:23" x14ac:dyDescent="0.25">
      <c r="E645" s="2"/>
      <c r="F645" s="2"/>
      <c r="G645" s="2"/>
      <c r="H645" s="22"/>
      <c r="L645" s="2"/>
      <c r="M645" s="2"/>
      <c r="N645" s="2"/>
      <c r="O645" s="2"/>
      <c r="P645" s="2"/>
      <c r="Q645" s="22"/>
      <c r="R645" s="22"/>
      <c r="U645" s="71"/>
      <c r="V645" s="71"/>
      <c r="W645" s="22"/>
    </row>
    <row r="646" spans="5:23" x14ac:dyDescent="0.25">
      <c r="E646" s="2"/>
      <c r="F646" s="2"/>
      <c r="G646" s="2"/>
      <c r="H646" s="22"/>
      <c r="L646" s="2"/>
      <c r="M646" s="2"/>
      <c r="N646" s="2"/>
      <c r="O646" s="2"/>
      <c r="P646" s="2"/>
      <c r="Q646" s="22"/>
      <c r="R646" s="22"/>
      <c r="U646" s="71"/>
      <c r="V646" s="71"/>
      <c r="W646" s="22"/>
    </row>
    <row r="647" spans="5:23" x14ac:dyDescent="0.25">
      <c r="E647" s="2"/>
      <c r="F647" s="2"/>
      <c r="G647" s="2"/>
      <c r="H647" s="22"/>
      <c r="L647" s="2"/>
      <c r="M647" s="2"/>
      <c r="N647" s="2"/>
      <c r="O647" s="2"/>
      <c r="P647" s="2"/>
      <c r="Q647" s="22"/>
      <c r="R647" s="22"/>
      <c r="U647" s="71"/>
      <c r="V647" s="71"/>
      <c r="W647" s="22"/>
    </row>
    <row r="648" spans="5:23" x14ac:dyDescent="0.25">
      <c r="E648" s="2"/>
      <c r="F648" s="2"/>
      <c r="G648" s="2"/>
      <c r="H648" s="22"/>
      <c r="L648" s="2"/>
      <c r="M648" s="2"/>
      <c r="N648" s="2"/>
      <c r="O648" s="2"/>
      <c r="P648" s="2"/>
      <c r="Q648" s="22"/>
      <c r="R648" s="22"/>
      <c r="U648" s="71"/>
      <c r="V648" s="71"/>
      <c r="W648" s="22"/>
    </row>
    <row r="649" spans="5:23" x14ac:dyDescent="0.25">
      <c r="E649" s="2"/>
      <c r="F649" s="2"/>
      <c r="G649" s="2"/>
      <c r="H649" s="22"/>
      <c r="L649" s="2"/>
      <c r="M649" s="2"/>
      <c r="N649" s="2"/>
      <c r="O649" s="2"/>
      <c r="P649" s="2"/>
      <c r="Q649" s="22"/>
      <c r="R649" s="22"/>
      <c r="U649" s="71"/>
      <c r="V649" s="71"/>
      <c r="W649" s="22"/>
    </row>
    <row r="650" spans="5:23" x14ac:dyDescent="0.25">
      <c r="E650" s="2"/>
      <c r="F650" s="2"/>
      <c r="G650" s="2"/>
      <c r="H650" s="22"/>
      <c r="L650" s="2"/>
      <c r="M650" s="2"/>
      <c r="N650" s="2"/>
      <c r="O650" s="2"/>
      <c r="P650" s="2"/>
      <c r="Q650" s="22"/>
      <c r="R650" s="22"/>
      <c r="U650" s="71"/>
      <c r="V650" s="71"/>
      <c r="W650" s="22"/>
    </row>
    <row r="651" spans="5:23" x14ac:dyDescent="0.25">
      <c r="E651" s="2"/>
      <c r="F651" s="2"/>
      <c r="G651" s="2"/>
      <c r="H651" s="22"/>
      <c r="L651" s="2"/>
      <c r="M651" s="2"/>
      <c r="N651" s="2"/>
      <c r="O651" s="2"/>
      <c r="P651" s="2"/>
      <c r="Q651" s="22"/>
      <c r="R651" s="22"/>
      <c r="U651" s="71"/>
      <c r="V651" s="71"/>
      <c r="W651" s="22"/>
    </row>
    <row r="652" spans="5:23" x14ac:dyDescent="0.25">
      <c r="E652" s="2"/>
      <c r="F652" s="2"/>
      <c r="G652" s="2"/>
      <c r="H652" s="22"/>
      <c r="L652" s="2"/>
      <c r="M652" s="2"/>
      <c r="N652" s="2"/>
      <c r="O652" s="2"/>
      <c r="P652" s="2"/>
      <c r="Q652" s="22"/>
      <c r="R652" s="22"/>
      <c r="U652" s="71"/>
      <c r="V652" s="71"/>
      <c r="W652" s="22"/>
    </row>
    <row r="653" spans="5:23" x14ac:dyDescent="0.25">
      <c r="E653" s="2"/>
      <c r="F653" s="2"/>
      <c r="G653" s="2"/>
      <c r="H653" s="22"/>
      <c r="L653" s="2"/>
      <c r="M653" s="2"/>
      <c r="N653" s="2"/>
      <c r="O653" s="2"/>
      <c r="P653" s="2"/>
      <c r="Q653" s="22"/>
      <c r="R653" s="22"/>
      <c r="U653" s="71"/>
      <c r="V653" s="71"/>
      <c r="W653" s="22"/>
    </row>
    <row r="654" spans="5:23" x14ac:dyDescent="0.25">
      <c r="E654" s="2"/>
      <c r="F654" s="2"/>
      <c r="G654" s="2"/>
      <c r="H654" s="22"/>
      <c r="L654" s="2"/>
      <c r="M654" s="2"/>
      <c r="N654" s="2"/>
      <c r="O654" s="2"/>
      <c r="P654" s="2"/>
      <c r="Q654" s="22"/>
      <c r="R654" s="22"/>
      <c r="U654" s="71"/>
      <c r="V654" s="71"/>
      <c r="W654" s="22"/>
    </row>
    <row r="655" spans="5:23" x14ac:dyDescent="0.25">
      <c r="E655" s="2"/>
      <c r="F655" s="2"/>
      <c r="G655" s="2"/>
      <c r="H655" s="22"/>
      <c r="L655" s="2"/>
      <c r="M655" s="2"/>
      <c r="N655" s="2"/>
      <c r="O655" s="2"/>
      <c r="P655" s="2"/>
      <c r="Q655" s="22"/>
      <c r="R655" s="22"/>
      <c r="U655" s="71"/>
      <c r="V655" s="71"/>
      <c r="W655" s="22"/>
    </row>
    <row r="656" spans="5:23" x14ac:dyDescent="0.25">
      <c r="E656" s="2"/>
      <c r="F656" s="2"/>
      <c r="G656" s="2"/>
      <c r="H656" s="22"/>
      <c r="L656" s="2"/>
      <c r="M656" s="2"/>
      <c r="N656" s="2"/>
      <c r="O656" s="2"/>
      <c r="P656" s="2"/>
      <c r="Q656" s="22"/>
      <c r="R656" s="22"/>
      <c r="U656" s="71"/>
      <c r="V656" s="71"/>
      <c r="W656" s="22"/>
    </row>
    <row r="657" spans="5:23" x14ac:dyDescent="0.25">
      <c r="E657" s="2"/>
      <c r="F657" s="2"/>
      <c r="G657" s="2"/>
      <c r="H657" s="22"/>
      <c r="L657" s="2"/>
      <c r="M657" s="2"/>
      <c r="N657" s="2"/>
      <c r="O657" s="2"/>
      <c r="P657" s="2"/>
      <c r="Q657" s="22"/>
      <c r="R657" s="22"/>
      <c r="U657" s="71"/>
      <c r="V657" s="71"/>
      <c r="W657" s="22"/>
    </row>
    <row r="658" spans="5:23" x14ac:dyDescent="0.25">
      <c r="E658" s="2"/>
      <c r="F658" s="2"/>
      <c r="G658" s="2"/>
      <c r="H658" s="22"/>
      <c r="L658" s="2"/>
      <c r="M658" s="2"/>
      <c r="N658" s="2"/>
      <c r="O658" s="2"/>
      <c r="P658" s="2"/>
      <c r="Q658" s="22"/>
      <c r="R658" s="22"/>
      <c r="U658" s="71"/>
      <c r="V658" s="71"/>
      <c r="W658" s="22"/>
    </row>
    <row r="659" spans="5:23" x14ac:dyDescent="0.25">
      <c r="E659" s="2"/>
      <c r="F659" s="2"/>
      <c r="G659" s="2"/>
      <c r="H659" s="22"/>
      <c r="L659" s="2"/>
      <c r="M659" s="2"/>
      <c r="N659" s="2"/>
      <c r="O659" s="2"/>
      <c r="P659" s="2"/>
      <c r="Q659" s="22"/>
      <c r="R659" s="22"/>
      <c r="U659" s="71"/>
      <c r="V659" s="71"/>
      <c r="W659" s="22"/>
    </row>
    <row r="660" spans="5:23" x14ac:dyDescent="0.25">
      <c r="E660" s="2"/>
      <c r="F660" s="2"/>
      <c r="G660" s="2"/>
      <c r="H660" s="22"/>
      <c r="L660" s="2"/>
      <c r="M660" s="2"/>
      <c r="N660" s="2"/>
      <c r="O660" s="2"/>
      <c r="P660" s="2"/>
      <c r="Q660" s="22"/>
      <c r="R660" s="22"/>
      <c r="U660" s="71"/>
      <c r="V660" s="71"/>
      <c r="W660" s="22"/>
    </row>
    <row r="661" spans="5:23" x14ac:dyDescent="0.25">
      <c r="E661" s="2"/>
      <c r="F661" s="2"/>
      <c r="G661" s="2"/>
      <c r="H661" s="22"/>
      <c r="L661" s="2"/>
      <c r="M661" s="2"/>
      <c r="N661" s="2"/>
      <c r="O661" s="2"/>
      <c r="P661" s="2"/>
      <c r="Q661" s="22"/>
      <c r="R661" s="22"/>
      <c r="U661" s="71"/>
      <c r="V661" s="71"/>
      <c r="W661" s="22"/>
    </row>
    <row r="662" spans="5:23" x14ac:dyDescent="0.25">
      <c r="E662" s="2"/>
      <c r="F662" s="2"/>
      <c r="G662" s="2"/>
      <c r="H662" s="22"/>
      <c r="L662" s="2"/>
      <c r="M662" s="2"/>
      <c r="N662" s="2"/>
      <c r="O662" s="2"/>
      <c r="P662" s="2"/>
      <c r="Q662" s="22"/>
      <c r="R662" s="22"/>
      <c r="U662" s="71"/>
      <c r="V662" s="71"/>
      <c r="W662" s="22"/>
    </row>
    <row r="663" spans="5:23" x14ac:dyDescent="0.25">
      <c r="E663" s="2"/>
      <c r="F663" s="2"/>
      <c r="G663" s="2"/>
      <c r="H663" s="22"/>
      <c r="L663" s="2"/>
      <c r="M663" s="2"/>
      <c r="N663" s="2"/>
      <c r="O663" s="2"/>
      <c r="P663" s="2"/>
      <c r="Q663" s="22"/>
      <c r="R663" s="22"/>
      <c r="U663" s="71"/>
      <c r="V663" s="71"/>
      <c r="W663" s="22"/>
    </row>
    <row r="664" spans="5:23" x14ac:dyDescent="0.25">
      <c r="E664" s="2"/>
      <c r="F664" s="2"/>
      <c r="G664" s="2"/>
      <c r="H664" s="22"/>
      <c r="L664" s="2"/>
      <c r="M664" s="2"/>
      <c r="N664" s="2"/>
      <c r="O664" s="2"/>
      <c r="P664" s="2"/>
      <c r="Q664" s="22"/>
      <c r="R664" s="22"/>
      <c r="U664" s="71"/>
      <c r="V664" s="71"/>
      <c r="W664" s="22"/>
    </row>
    <row r="665" spans="5:23" x14ac:dyDescent="0.25">
      <c r="E665" s="2"/>
      <c r="F665" s="2"/>
      <c r="G665" s="2"/>
      <c r="H665" s="22"/>
      <c r="L665" s="2"/>
      <c r="M665" s="2"/>
      <c r="N665" s="2"/>
      <c r="O665" s="2"/>
      <c r="P665" s="2"/>
      <c r="Q665" s="22"/>
      <c r="R665" s="22"/>
      <c r="U665" s="71"/>
      <c r="V665" s="71"/>
      <c r="W665" s="22"/>
    </row>
    <row r="666" spans="5:23" x14ac:dyDescent="0.25">
      <c r="E666" s="2"/>
      <c r="F666" s="2"/>
      <c r="G666" s="2"/>
      <c r="H666" s="22"/>
      <c r="L666" s="2"/>
      <c r="M666" s="2"/>
      <c r="N666" s="2"/>
      <c r="O666" s="2"/>
      <c r="P666" s="2"/>
      <c r="Q666" s="22"/>
      <c r="R666" s="22"/>
      <c r="U666" s="71"/>
      <c r="V666" s="71"/>
      <c r="W666" s="22"/>
    </row>
    <row r="667" spans="5:23" x14ac:dyDescent="0.25">
      <c r="E667" s="2"/>
      <c r="F667" s="2"/>
      <c r="G667" s="2"/>
      <c r="H667" s="22"/>
      <c r="L667" s="2"/>
      <c r="M667" s="2"/>
      <c r="N667" s="2"/>
      <c r="O667" s="2"/>
      <c r="P667" s="2"/>
      <c r="Q667" s="22"/>
      <c r="R667" s="22"/>
      <c r="U667" s="71"/>
      <c r="V667" s="71"/>
      <c r="W667" s="22"/>
    </row>
    <row r="668" spans="5:23" x14ac:dyDescent="0.25">
      <c r="E668" s="2"/>
      <c r="F668" s="2"/>
      <c r="G668" s="2"/>
      <c r="H668" s="22"/>
      <c r="L668" s="2"/>
      <c r="M668" s="2"/>
      <c r="N668" s="2"/>
      <c r="O668" s="2"/>
      <c r="P668" s="2"/>
      <c r="Q668" s="22"/>
      <c r="R668" s="22"/>
      <c r="U668" s="71"/>
      <c r="V668" s="71"/>
      <c r="W668" s="22"/>
    </row>
    <row r="669" spans="5:23" x14ac:dyDescent="0.25">
      <c r="E669" s="2"/>
      <c r="F669" s="2"/>
      <c r="G669" s="2"/>
      <c r="H669" s="22"/>
      <c r="L669" s="2"/>
      <c r="M669" s="2"/>
      <c r="N669" s="2"/>
      <c r="O669" s="2"/>
      <c r="P669" s="2"/>
      <c r="Q669" s="22"/>
      <c r="R669" s="22"/>
      <c r="U669" s="71"/>
      <c r="V669" s="71"/>
      <c r="W669" s="22"/>
    </row>
    <row r="670" spans="5:23" x14ac:dyDescent="0.25">
      <c r="E670" s="2"/>
      <c r="F670" s="2"/>
      <c r="G670" s="2"/>
      <c r="H670" s="22"/>
      <c r="L670" s="2"/>
      <c r="M670" s="2"/>
      <c r="N670" s="2"/>
      <c r="O670" s="2"/>
      <c r="P670" s="2"/>
      <c r="Q670" s="22"/>
      <c r="R670" s="22"/>
      <c r="U670" s="71"/>
      <c r="V670" s="71"/>
      <c r="W670" s="22"/>
    </row>
    <row r="671" spans="5:23" x14ac:dyDescent="0.25">
      <c r="E671" s="2"/>
      <c r="F671" s="2"/>
      <c r="G671" s="2"/>
      <c r="H671" s="22"/>
      <c r="L671" s="2"/>
      <c r="M671" s="2"/>
      <c r="N671" s="2"/>
      <c r="O671" s="2"/>
      <c r="P671" s="2"/>
      <c r="Q671" s="22"/>
      <c r="R671" s="22"/>
      <c r="U671" s="71"/>
      <c r="V671" s="71"/>
      <c r="W671" s="22"/>
    </row>
    <row r="672" spans="5:23" x14ac:dyDescent="0.25">
      <c r="E672" s="2"/>
      <c r="F672" s="2"/>
      <c r="G672" s="2"/>
      <c r="H672" s="22"/>
      <c r="L672" s="2"/>
      <c r="M672" s="2"/>
      <c r="N672" s="2"/>
      <c r="O672" s="2"/>
      <c r="P672" s="2"/>
      <c r="Q672" s="22"/>
      <c r="R672" s="22"/>
      <c r="U672" s="71"/>
      <c r="V672" s="71"/>
      <c r="W672" s="22"/>
    </row>
    <row r="673" spans="5:23" x14ac:dyDescent="0.25">
      <c r="E673" s="2"/>
      <c r="F673" s="2"/>
      <c r="G673" s="2"/>
      <c r="H673" s="22"/>
      <c r="L673" s="2"/>
      <c r="M673" s="2"/>
      <c r="N673" s="2"/>
      <c r="O673" s="2"/>
      <c r="P673" s="2"/>
      <c r="Q673" s="22"/>
      <c r="R673" s="22"/>
      <c r="U673" s="71"/>
      <c r="V673" s="71"/>
      <c r="W673" s="22"/>
    </row>
    <row r="674" spans="5:23" x14ac:dyDescent="0.25">
      <c r="E674" s="2"/>
      <c r="F674" s="2"/>
      <c r="G674" s="2"/>
      <c r="H674" s="22"/>
      <c r="L674" s="2"/>
      <c r="M674" s="2"/>
      <c r="N674" s="2"/>
      <c r="O674" s="2"/>
      <c r="P674" s="2"/>
      <c r="Q674" s="22"/>
      <c r="R674" s="22"/>
      <c r="U674" s="71"/>
      <c r="V674" s="71"/>
      <c r="W674" s="22"/>
    </row>
    <row r="675" spans="5:23" x14ac:dyDescent="0.25">
      <c r="E675" s="2"/>
      <c r="F675" s="2"/>
      <c r="G675" s="2"/>
      <c r="H675" s="22"/>
      <c r="L675" s="2"/>
      <c r="M675" s="2"/>
      <c r="N675" s="2"/>
      <c r="O675" s="2"/>
      <c r="P675" s="2"/>
      <c r="Q675" s="22"/>
      <c r="R675" s="22"/>
      <c r="U675" s="71"/>
      <c r="V675" s="71"/>
      <c r="W675" s="22"/>
    </row>
    <row r="676" spans="5:23" x14ac:dyDescent="0.25">
      <c r="E676" s="2"/>
      <c r="F676" s="2"/>
      <c r="G676" s="2"/>
      <c r="H676" s="22"/>
      <c r="L676" s="2"/>
      <c r="M676" s="2"/>
      <c r="N676" s="2"/>
      <c r="O676" s="2"/>
      <c r="P676" s="2"/>
      <c r="Q676" s="22"/>
      <c r="R676" s="22"/>
      <c r="U676" s="71"/>
      <c r="V676" s="71"/>
      <c r="W676" s="22"/>
    </row>
    <row r="677" spans="5:23" x14ac:dyDescent="0.25">
      <c r="E677" s="2"/>
      <c r="F677" s="2"/>
      <c r="G677" s="2"/>
      <c r="H677" s="22"/>
      <c r="L677" s="2"/>
      <c r="M677" s="2"/>
      <c r="N677" s="2"/>
      <c r="O677" s="2"/>
      <c r="P677" s="2"/>
      <c r="Q677" s="22"/>
      <c r="R677" s="22"/>
      <c r="U677" s="71"/>
      <c r="V677" s="71"/>
      <c r="W677" s="22"/>
    </row>
    <row r="678" spans="5:23" x14ac:dyDescent="0.25">
      <c r="E678" s="2"/>
      <c r="F678" s="2"/>
      <c r="G678" s="2"/>
      <c r="H678" s="22"/>
      <c r="L678" s="2"/>
      <c r="M678" s="2"/>
      <c r="N678" s="2"/>
      <c r="O678" s="2"/>
      <c r="P678" s="2"/>
      <c r="Q678" s="22"/>
      <c r="R678" s="22"/>
      <c r="U678" s="71"/>
      <c r="V678" s="71"/>
      <c r="W678" s="22"/>
    </row>
    <row r="679" spans="5:23" x14ac:dyDescent="0.25">
      <c r="E679" s="2"/>
      <c r="F679" s="2"/>
      <c r="G679" s="2"/>
      <c r="H679" s="22"/>
      <c r="L679" s="2"/>
      <c r="M679" s="2"/>
      <c r="N679" s="2"/>
      <c r="O679" s="2"/>
      <c r="P679" s="2"/>
      <c r="Q679" s="22"/>
      <c r="R679" s="22"/>
      <c r="U679" s="71"/>
      <c r="V679" s="71"/>
      <c r="W679" s="22"/>
    </row>
    <row r="680" spans="5:23" x14ac:dyDescent="0.25">
      <c r="E680" s="2"/>
      <c r="F680" s="2"/>
      <c r="G680" s="2"/>
      <c r="H680" s="22"/>
      <c r="L680" s="2"/>
      <c r="M680" s="2"/>
      <c r="N680" s="2"/>
      <c r="O680" s="2"/>
      <c r="P680" s="2"/>
      <c r="Q680" s="22"/>
      <c r="R680" s="22"/>
      <c r="U680" s="71"/>
      <c r="V680" s="71"/>
      <c r="W680" s="22"/>
    </row>
    <row r="681" spans="5:23" x14ac:dyDescent="0.25">
      <c r="E681" s="2"/>
      <c r="F681" s="2"/>
      <c r="G681" s="2"/>
      <c r="H681" s="22"/>
      <c r="L681" s="2"/>
      <c r="M681" s="2"/>
      <c r="N681" s="2"/>
      <c r="O681" s="2"/>
      <c r="P681" s="2"/>
      <c r="Q681" s="22"/>
      <c r="R681" s="22"/>
      <c r="U681" s="71"/>
      <c r="V681" s="71"/>
      <c r="W681" s="22"/>
    </row>
    <row r="682" spans="5:23" x14ac:dyDescent="0.25">
      <c r="E682" s="2"/>
      <c r="F682" s="2"/>
      <c r="G682" s="2"/>
      <c r="H682" s="22"/>
      <c r="L682" s="2"/>
      <c r="M682" s="2"/>
      <c r="N682" s="2"/>
      <c r="O682" s="2"/>
      <c r="P682" s="2"/>
      <c r="Q682" s="22"/>
      <c r="R682" s="22"/>
      <c r="U682" s="71"/>
      <c r="V682" s="71"/>
      <c r="W682" s="22"/>
    </row>
    <row r="683" spans="5:23" x14ac:dyDescent="0.25">
      <c r="E683" s="2"/>
      <c r="F683" s="2"/>
      <c r="G683" s="2"/>
      <c r="H683" s="22"/>
      <c r="L683" s="2"/>
      <c r="M683" s="2"/>
      <c r="N683" s="2"/>
      <c r="O683" s="2"/>
      <c r="P683" s="2"/>
      <c r="Q683" s="22"/>
      <c r="R683" s="22"/>
      <c r="U683" s="71"/>
      <c r="V683" s="71"/>
      <c r="W683" s="22"/>
    </row>
    <row r="684" spans="5:23" x14ac:dyDescent="0.25">
      <c r="E684" s="2"/>
      <c r="F684" s="2"/>
      <c r="G684" s="2"/>
      <c r="H684" s="22"/>
      <c r="L684" s="2"/>
      <c r="M684" s="2"/>
      <c r="N684" s="2"/>
      <c r="O684" s="2"/>
      <c r="P684" s="2"/>
      <c r="Q684" s="22"/>
      <c r="R684" s="22"/>
      <c r="U684" s="71"/>
      <c r="V684" s="71"/>
      <c r="W684" s="22"/>
    </row>
    <row r="685" spans="5:23" x14ac:dyDescent="0.25">
      <c r="E685" s="2"/>
      <c r="F685" s="2"/>
      <c r="G685" s="2"/>
      <c r="H685" s="22"/>
      <c r="L685" s="2"/>
      <c r="M685" s="2"/>
      <c r="N685" s="2"/>
      <c r="O685" s="2"/>
      <c r="P685" s="2"/>
      <c r="Q685" s="22"/>
      <c r="R685" s="22"/>
      <c r="U685" s="71"/>
      <c r="V685" s="71"/>
      <c r="W685" s="22"/>
    </row>
    <row r="686" spans="5:23" x14ac:dyDescent="0.25">
      <c r="E686" s="2"/>
      <c r="F686" s="2"/>
      <c r="G686" s="2"/>
      <c r="H686" s="22"/>
      <c r="L686" s="2"/>
      <c r="M686" s="2"/>
      <c r="N686" s="2"/>
      <c r="O686" s="2"/>
      <c r="P686" s="2"/>
      <c r="Q686" s="22"/>
      <c r="R686" s="22"/>
      <c r="U686" s="71"/>
      <c r="V686" s="71"/>
      <c r="W686" s="22"/>
    </row>
    <row r="687" spans="5:23" x14ac:dyDescent="0.25">
      <c r="E687" s="2"/>
      <c r="F687" s="2"/>
      <c r="G687" s="2"/>
      <c r="H687" s="22"/>
      <c r="L687" s="2"/>
      <c r="M687" s="2"/>
      <c r="N687" s="2"/>
      <c r="O687" s="2"/>
      <c r="P687" s="2"/>
      <c r="Q687" s="22"/>
      <c r="R687" s="22"/>
      <c r="U687" s="71"/>
      <c r="V687" s="71"/>
      <c r="W687" s="22"/>
    </row>
    <row r="688" spans="5:23" x14ac:dyDescent="0.25">
      <c r="E688" s="2"/>
      <c r="F688" s="2"/>
      <c r="G688" s="2"/>
      <c r="H688" s="22"/>
      <c r="L688" s="2"/>
      <c r="M688" s="2"/>
      <c r="N688" s="2"/>
      <c r="O688" s="2"/>
      <c r="P688" s="2"/>
      <c r="Q688" s="22"/>
      <c r="R688" s="22"/>
      <c r="U688" s="71"/>
      <c r="V688" s="71"/>
      <c r="W688" s="22"/>
    </row>
    <row r="689" spans="5:23" x14ac:dyDescent="0.25">
      <c r="E689" s="2"/>
      <c r="F689" s="2"/>
      <c r="G689" s="2"/>
      <c r="H689" s="22"/>
      <c r="L689" s="2"/>
      <c r="M689" s="2"/>
      <c r="N689" s="2"/>
      <c r="O689" s="2"/>
      <c r="P689" s="2"/>
      <c r="Q689" s="22"/>
      <c r="R689" s="22"/>
      <c r="U689" s="71"/>
      <c r="V689" s="71"/>
      <c r="W689" s="22"/>
    </row>
    <row r="690" spans="5:23" x14ac:dyDescent="0.25">
      <c r="E690" s="2"/>
      <c r="F690" s="2"/>
      <c r="G690" s="2"/>
      <c r="H690" s="22"/>
      <c r="L690" s="2"/>
      <c r="M690" s="2"/>
      <c r="N690" s="2"/>
      <c r="O690" s="2"/>
      <c r="P690" s="2"/>
      <c r="Q690" s="22"/>
      <c r="R690" s="22"/>
      <c r="U690" s="71"/>
      <c r="V690" s="71"/>
      <c r="W690" s="22"/>
    </row>
    <row r="691" spans="5:23" x14ac:dyDescent="0.25">
      <c r="E691" s="2"/>
      <c r="F691" s="2"/>
      <c r="G691" s="2"/>
      <c r="H691" s="22"/>
      <c r="L691" s="2"/>
      <c r="M691" s="2"/>
      <c r="N691" s="2"/>
      <c r="O691" s="2"/>
      <c r="P691" s="2"/>
      <c r="Q691" s="22"/>
      <c r="R691" s="22"/>
      <c r="U691" s="71"/>
      <c r="V691" s="71"/>
      <c r="W691" s="22"/>
    </row>
    <row r="692" spans="5:23" x14ac:dyDescent="0.25">
      <c r="E692" s="2"/>
      <c r="F692" s="2"/>
      <c r="G692" s="2"/>
      <c r="H692" s="22"/>
      <c r="L692" s="2"/>
      <c r="M692" s="2"/>
      <c r="N692" s="2"/>
      <c r="O692" s="2"/>
      <c r="P692" s="2"/>
      <c r="Q692" s="22"/>
      <c r="R692" s="22"/>
      <c r="U692" s="71"/>
      <c r="V692" s="71"/>
      <c r="W692" s="22"/>
    </row>
    <row r="693" spans="5:23" x14ac:dyDescent="0.25">
      <c r="E693" s="2"/>
      <c r="F693" s="2"/>
      <c r="G693" s="2"/>
      <c r="H693" s="22"/>
      <c r="L693" s="2"/>
      <c r="M693" s="2"/>
      <c r="N693" s="2"/>
      <c r="O693" s="2"/>
      <c r="P693" s="2"/>
      <c r="Q693" s="22"/>
      <c r="R693" s="22"/>
      <c r="U693" s="71"/>
      <c r="V693" s="71"/>
      <c r="W693" s="22"/>
    </row>
    <row r="694" spans="5:23" x14ac:dyDescent="0.25">
      <c r="E694" s="2"/>
      <c r="F694" s="2"/>
      <c r="G694" s="2"/>
      <c r="H694" s="22"/>
      <c r="L694" s="2"/>
      <c r="M694" s="2"/>
      <c r="N694" s="2"/>
      <c r="O694" s="2"/>
      <c r="P694" s="2"/>
      <c r="Q694" s="22"/>
      <c r="R694" s="22"/>
      <c r="U694" s="71"/>
      <c r="V694" s="71"/>
      <c r="W694" s="22"/>
    </row>
    <row r="695" spans="5:23" x14ac:dyDescent="0.25">
      <c r="E695" s="2"/>
      <c r="F695" s="2"/>
      <c r="G695" s="2"/>
      <c r="H695" s="22"/>
      <c r="L695" s="2"/>
      <c r="M695" s="2"/>
      <c r="N695" s="2"/>
      <c r="O695" s="2"/>
      <c r="P695" s="2"/>
      <c r="Q695" s="22"/>
      <c r="R695" s="22"/>
      <c r="U695" s="71"/>
      <c r="V695" s="71"/>
      <c r="W695" s="22"/>
    </row>
    <row r="696" spans="5:23" x14ac:dyDescent="0.25">
      <c r="E696" s="2"/>
      <c r="F696" s="2"/>
      <c r="G696" s="2"/>
      <c r="H696" s="22"/>
      <c r="L696" s="2"/>
      <c r="M696" s="2"/>
      <c r="N696" s="2"/>
      <c r="O696" s="2"/>
      <c r="P696" s="2"/>
      <c r="Q696" s="22"/>
      <c r="R696" s="22"/>
      <c r="U696" s="71"/>
      <c r="V696" s="71"/>
      <c r="W696" s="22"/>
    </row>
    <row r="697" spans="5:23" x14ac:dyDescent="0.25">
      <c r="E697" s="2"/>
      <c r="F697" s="2"/>
      <c r="G697" s="2"/>
      <c r="H697" s="22"/>
      <c r="L697" s="2"/>
      <c r="M697" s="2"/>
      <c r="N697" s="2"/>
      <c r="O697" s="2"/>
      <c r="P697" s="2"/>
      <c r="Q697" s="22"/>
      <c r="R697" s="22"/>
      <c r="U697" s="71"/>
      <c r="V697" s="71"/>
      <c r="W697" s="22"/>
    </row>
    <row r="698" spans="5:23" x14ac:dyDescent="0.25">
      <c r="E698" s="2"/>
      <c r="F698" s="2"/>
      <c r="G698" s="2"/>
      <c r="H698" s="22"/>
      <c r="L698" s="2"/>
      <c r="M698" s="2"/>
      <c r="N698" s="2"/>
      <c r="O698" s="2"/>
      <c r="P698" s="2"/>
      <c r="Q698" s="22"/>
      <c r="R698" s="22"/>
      <c r="U698" s="71"/>
      <c r="V698" s="71"/>
      <c r="W698" s="22"/>
    </row>
    <row r="699" spans="5:23" x14ac:dyDescent="0.25">
      <c r="E699" s="2"/>
      <c r="F699" s="2"/>
      <c r="G699" s="2"/>
      <c r="H699" s="22"/>
      <c r="L699" s="2"/>
      <c r="M699" s="2"/>
      <c r="N699" s="2"/>
      <c r="O699" s="2"/>
      <c r="P699" s="2"/>
      <c r="Q699" s="22"/>
      <c r="R699" s="22"/>
      <c r="U699" s="71"/>
      <c r="V699" s="71"/>
      <c r="W699" s="22"/>
    </row>
    <row r="700" spans="5:23" x14ac:dyDescent="0.25">
      <c r="E700" s="2"/>
      <c r="F700" s="2"/>
      <c r="G700" s="2"/>
      <c r="H700" s="22"/>
      <c r="L700" s="2"/>
      <c r="M700" s="2"/>
      <c r="N700" s="2"/>
      <c r="O700" s="2"/>
      <c r="P700" s="2"/>
      <c r="Q700" s="22"/>
      <c r="R700" s="22"/>
      <c r="U700" s="71"/>
      <c r="V700" s="71"/>
      <c r="W700" s="22"/>
    </row>
    <row r="701" spans="5:23" x14ac:dyDescent="0.25">
      <c r="E701" s="2"/>
      <c r="F701" s="2"/>
      <c r="G701" s="2"/>
      <c r="H701" s="22"/>
      <c r="L701" s="2"/>
      <c r="M701" s="2"/>
      <c r="N701" s="2"/>
      <c r="O701" s="2"/>
      <c r="P701" s="2"/>
      <c r="Q701" s="22"/>
      <c r="R701" s="22"/>
      <c r="U701" s="71"/>
      <c r="V701" s="71"/>
      <c r="W701" s="22"/>
    </row>
    <row r="702" spans="5:23" x14ac:dyDescent="0.25">
      <c r="E702" s="2"/>
      <c r="F702" s="2"/>
      <c r="G702" s="2"/>
      <c r="H702" s="22"/>
      <c r="L702" s="2"/>
      <c r="M702" s="2"/>
      <c r="N702" s="2"/>
      <c r="O702" s="2"/>
      <c r="P702" s="2"/>
      <c r="Q702" s="22"/>
      <c r="R702" s="22"/>
      <c r="U702" s="71"/>
      <c r="V702" s="71"/>
      <c r="W702" s="22"/>
    </row>
    <row r="703" spans="5:23" x14ac:dyDescent="0.25">
      <c r="E703" s="2"/>
      <c r="F703" s="2"/>
      <c r="G703" s="2"/>
      <c r="H703" s="22"/>
      <c r="L703" s="2"/>
      <c r="M703" s="2"/>
      <c r="N703" s="2"/>
      <c r="O703" s="2"/>
      <c r="P703" s="2"/>
      <c r="Q703" s="22"/>
      <c r="R703" s="22"/>
      <c r="U703" s="71"/>
      <c r="V703" s="71"/>
      <c r="W703" s="22"/>
    </row>
    <row r="704" spans="5:23" x14ac:dyDescent="0.25">
      <c r="E704" s="2"/>
      <c r="F704" s="2"/>
      <c r="G704" s="2"/>
      <c r="H704" s="22"/>
      <c r="L704" s="2"/>
      <c r="M704" s="2"/>
      <c r="N704" s="2"/>
      <c r="O704" s="2"/>
      <c r="P704" s="2"/>
      <c r="Q704" s="22"/>
      <c r="R704" s="22"/>
      <c r="U704" s="71"/>
      <c r="V704" s="71"/>
      <c r="W704" s="22"/>
    </row>
    <row r="705" spans="5:23" x14ac:dyDescent="0.25">
      <c r="E705" s="2"/>
      <c r="F705" s="2"/>
      <c r="G705" s="2"/>
      <c r="H705" s="22"/>
      <c r="L705" s="2"/>
      <c r="M705" s="2"/>
      <c r="N705" s="2"/>
      <c r="O705" s="2"/>
      <c r="P705" s="2"/>
      <c r="Q705" s="22"/>
      <c r="R705" s="22"/>
      <c r="U705" s="71"/>
      <c r="V705" s="71"/>
      <c r="W705" s="22"/>
    </row>
    <row r="706" spans="5:23" x14ac:dyDescent="0.25">
      <c r="E706" s="2"/>
      <c r="F706" s="2"/>
      <c r="G706" s="2"/>
      <c r="H706" s="22"/>
      <c r="L706" s="2"/>
      <c r="M706" s="2"/>
      <c r="N706" s="2"/>
      <c r="O706" s="2"/>
      <c r="P706" s="2"/>
      <c r="Q706" s="22"/>
      <c r="R706" s="22"/>
      <c r="U706" s="71"/>
      <c r="V706" s="71"/>
      <c r="W706" s="22"/>
    </row>
    <row r="707" spans="5:23" x14ac:dyDescent="0.25">
      <c r="E707" s="2"/>
      <c r="F707" s="2"/>
      <c r="G707" s="2"/>
      <c r="H707" s="22"/>
      <c r="L707" s="2"/>
      <c r="M707" s="2"/>
      <c r="N707" s="2"/>
      <c r="O707" s="2"/>
      <c r="P707" s="2"/>
      <c r="Q707" s="22"/>
      <c r="R707" s="22"/>
      <c r="U707" s="71"/>
      <c r="V707" s="71"/>
      <c r="W707" s="22"/>
    </row>
    <row r="708" spans="5:23" x14ac:dyDescent="0.25">
      <c r="E708" s="2"/>
      <c r="F708" s="2"/>
      <c r="G708" s="2"/>
      <c r="H708" s="22"/>
      <c r="L708" s="2"/>
      <c r="M708" s="2"/>
      <c r="N708" s="2"/>
      <c r="O708" s="2"/>
      <c r="P708" s="2"/>
      <c r="Q708" s="22"/>
      <c r="R708" s="22"/>
      <c r="U708" s="71"/>
      <c r="V708" s="71"/>
      <c r="W708" s="22"/>
    </row>
    <row r="709" spans="5:23" x14ac:dyDescent="0.25">
      <c r="E709" s="2"/>
      <c r="F709" s="2"/>
      <c r="G709" s="2"/>
      <c r="H709" s="22"/>
      <c r="L709" s="2"/>
      <c r="M709" s="2"/>
      <c r="N709" s="2"/>
      <c r="O709" s="2"/>
      <c r="P709" s="2"/>
      <c r="Q709" s="22"/>
      <c r="R709" s="22"/>
      <c r="U709" s="71"/>
      <c r="V709" s="71"/>
      <c r="W709" s="22"/>
    </row>
    <row r="710" spans="5:23" x14ac:dyDescent="0.25">
      <c r="E710" s="2"/>
      <c r="F710" s="2"/>
      <c r="G710" s="2"/>
      <c r="H710" s="22"/>
      <c r="L710" s="2"/>
      <c r="M710" s="2"/>
      <c r="N710" s="2"/>
      <c r="O710" s="2"/>
      <c r="P710" s="2"/>
      <c r="Q710" s="22"/>
      <c r="R710" s="22"/>
      <c r="U710" s="71"/>
      <c r="V710" s="71"/>
      <c r="W710" s="22"/>
    </row>
    <row r="711" spans="5:23" x14ac:dyDescent="0.25">
      <c r="E711" s="2"/>
      <c r="F711" s="2"/>
      <c r="G711" s="2"/>
      <c r="H711" s="22"/>
      <c r="L711" s="2"/>
      <c r="M711" s="2"/>
      <c r="N711" s="2"/>
      <c r="O711" s="2"/>
      <c r="P711" s="2"/>
      <c r="Q711" s="22"/>
      <c r="R711" s="22"/>
      <c r="U711" s="71"/>
      <c r="V711" s="71"/>
      <c r="W711" s="22"/>
    </row>
    <row r="712" spans="5:23" x14ac:dyDescent="0.25">
      <c r="E712" s="2"/>
      <c r="F712" s="2"/>
      <c r="G712" s="2"/>
      <c r="H712" s="22"/>
      <c r="L712" s="2"/>
      <c r="M712" s="2"/>
      <c r="N712" s="2"/>
      <c r="O712" s="2"/>
      <c r="P712" s="2"/>
      <c r="Q712" s="22"/>
      <c r="R712" s="22"/>
      <c r="U712" s="71"/>
      <c r="V712" s="71"/>
      <c r="W712" s="22"/>
    </row>
    <row r="713" spans="5:23" x14ac:dyDescent="0.25">
      <c r="E713" s="2"/>
      <c r="F713" s="2"/>
      <c r="G713" s="2"/>
      <c r="H713" s="22"/>
      <c r="L713" s="2"/>
      <c r="M713" s="2"/>
      <c r="N713" s="2"/>
      <c r="O713" s="2"/>
      <c r="P713" s="2"/>
      <c r="Q713" s="22"/>
      <c r="R713" s="22"/>
      <c r="U713" s="71"/>
      <c r="V713" s="71"/>
      <c r="W713" s="22"/>
    </row>
    <row r="714" spans="5:23" x14ac:dyDescent="0.25">
      <c r="E714" s="2"/>
      <c r="F714" s="2"/>
      <c r="G714" s="2"/>
      <c r="H714" s="22"/>
      <c r="L714" s="2"/>
      <c r="M714" s="2"/>
      <c r="N714" s="2"/>
      <c r="O714" s="2"/>
      <c r="P714" s="2"/>
      <c r="Q714" s="22"/>
      <c r="R714" s="22"/>
      <c r="U714" s="71"/>
      <c r="V714" s="71"/>
      <c r="W714" s="22"/>
    </row>
    <row r="715" spans="5:23" x14ac:dyDescent="0.25">
      <c r="E715" s="2"/>
      <c r="F715" s="2"/>
      <c r="G715" s="2"/>
      <c r="H715" s="22"/>
      <c r="L715" s="2"/>
      <c r="M715" s="2"/>
      <c r="N715" s="2"/>
      <c r="O715" s="2"/>
      <c r="P715" s="2"/>
      <c r="Q715" s="22"/>
      <c r="R715" s="22"/>
      <c r="U715" s="71"/>
      <c r="V715" s="71"/>
      <c r="W715" s="22"/>
    </row>
    <row r="716" spans="5:23" x14ac:dyDescent="0.25">
      <c r="E716" s="2"/>
      <c r="F716" s="2"/>
      <c r="G716" s="2"/>
      <c r="H716" s="22"/>
      <c r="L716" s="2"/>
      <c r="M716" s="2"/>
      <c r="N716" s="2"/>
      <c r="O716" s="2"/>
      <c r="P716" s="2"/>
      <c r="Q716" s="22"/>
      <c r="R716" s="22"/>
      <c r="U716" s="71"/>
      <c r="V716" s="71"/>
      <c r="W716" s="22"/>
    </row>
    <row r="717" spans="5:23" x14ac:dyDescent="0.25">
      <c r="E717" s="2"/>
      <c r="F717" s="2"/>
      <c r="G717" s="2"/>
      <c r="H717" s="22"/>
      <c r="L717" s="2"/>
      <c r="M717" s="2"/>
      <c r="N717" s="2"/>
      <c r="O717" s="2"/>
      <c r="P717" s="2"/>
      <c r="Q717" s="22"/>
      <c r="R717" s="22"/>
      <c r="U717" s="71"/>
      <c r="V717" s="71"/>
      <c r="W717" s="22"/>
    </row>
    <row r="718" spans="5:23" x14ac:dyDescent="0.25">
      <c r="E718" s="2"/>
      <c r="F718" s="2"/>
      <c r="G718" s="2"/>
      <c r="H718" s="22"/>
      <c r="L718" s="2"/>
      <c r="M718" s="2"/>
      <c r="N718" s="2"/>
      <c r="O718" s="2"/>
      <c r="P718" s="2"/>
      <c r="Q718" s="22"/>
      <c r="R718" s="22"/>
      <c r="U718" s="71"/>
      <c r="V718" s="71"/>
      <c r="W718" s="22"/>
    </row>
    <row r="719" spans="5:23" x14ac:dyDescent="0.25">
      <c r="E719" s="2"/>
      <c r="F719" s="2"/>
      <c r="G719" s="2"/>
      <c r="H719" s="22"/>
      <c r="L719" s="2"/>
      <c r="M719" s="2"/>
      <c r="N719" s="2"/>
      <c r="O719" s="2"/>
      <c r="P719" s="2"/>
      <c r="Q719" s="22"/>
      <c r="R719" s="22"/>
      <c r="U719" s="71"/>
      <c r="V719" s="71"/>
      <c r="W719" s="22"/>
    </row>
    <row r="720" spans="5:23" x14ac:dyDescent="0.25">
      <c r="E720" s="2"/>
      <c r="F720" s="2"/>
      <c r="G720" s="2"/>
      <c r="H720" s="22"/>
      <c r="L720" s="2"/>
      <c r="M720" s="2"/>
      <c r="N720" s="2"/>
      <c r="O720" s="2"/>
      <c r="P720" s="2"/>
      <c r="Q720" s="22"/>
      <c r="R720" s="22"/>
      <c r="U720" s="71"/>
      <c r="V720" s="71"/>
      <c r="W720" s="22"/>
    </row>
    <row r="721" spans="5:23" x14ac:dyDescent="0.25">
      <c r="E721" s="2"/>
      <c r="F721" s="2"/>
      <c r="G721" s="2"/>
      <c r="H721" s="22"/>
      <c r="L721" s="2"/>
      <c r="M721" s="2"/>
      <c r="N721" s="2"/>
      <c r="O721" s="2"/>
      <c r="P721" s="2"/>
      <c r="Q721" s="22"/>
      <c r="R721" s="22"/>
      <c r="U721" s="71"/>
      <c r="V721" s="71"/>
      <c r="W721" s="22"/>
    </row>
    <row r="722" spans="5:23" x14ac:dyDescent="0.25">
      <c r="E722" s="2"/>
      <c r="F722" s="2"/>
      <c r="G722" s="2"/>
      <c r="H722" s="22"/>
      <c r="L722" s="2"/>
      <c r="M722" s="2"/>
      <c r="N722" s="2"/>
      <c r="O722" s="2"/>
      <c r="P722" s="2"/>
      <c r="Q722" s="22"/>
      <c r="R722" s="22"/>
      <c r="U722" s="71"/>
      <c r="V722" s="71"/>
      <c r="W722" s="22"/>
    </row>
    <row r="723" spans="5:23" x14ac:dyDescent="0.25">
      <c r="E723" s="2"/>
      <c r="F723" s="2"/>
      <c r="G723" s="2"/>
      <c r="H723" s="22"/>
      <c r="L723" s="2"/>
      <c r="M723" s="2"/>
      <c r="N723" s="2"/>
      <c r="O723" s="2"/>
      <c r="P723" s="2"/>
      <c r="Q723" s="22"/>
      <c r="R723" s="22"/>
      <c r="U723" s="71"/>
      <c r="V723" s="71"/>
      <c r="W723" s="22"/>
    </row>
    <row r="724" spans="5:23" x14ac:dyDescent="0.25">
      <c r="E724" s="2"/>
      <c r="F724" s="2"/>
      <c r="G724" s="2"/>
      <c r="H724" s="22"/>
      <c r="L724" s="2"/>
      <c r="M724" s="2"/>
      <c r="N724" s="2"/>
      <c r="O724" s="2"/>
      <c r="P724" s="2"/>
      <c r="Q724" s="22"/>
      <c r="R724" s="22"/>
      <c r="U724" s="71"/>
      <c r="V724" s="71"/>
      <c r="W724" s="22"/>
    </row>
    <row r="725" spans="5:23" x14ac:dyDescent="0.25">
      <c r="E725" s="2"/>
      <c r="F725" s="2"/>
      <c r="G725" s="2"/>
      <c r="H725" s="22"/>
      <c r="L725" s="2"/>
      <c r="M725" s="2"/>
      <c r="N725" s="2"/>
      <c r="O725" s="2"/>
      <c r="P725" s="2"/>
      <c r="Q725" s="22"/>
      <c r="R725" s="22"/>
      <c r="U725" s="71"/>
      <c r="V725" s="71"/>
      <c r="W725" s="22"/>
    </row>
    <row r="726" spans="5:23" x14ac:dyDescent="0.25">
      <c r="E726" s="2"/>
      <c r="F726" s="2"/>
      <c r="G726" s="2"/>
      <c r="H726" s="22"/>
      <c r="L726" s="2"/>
      <c r="M726" s="2"/>
      <c r="N726" s="2"/>
      <c r="O726" s="2"/>
      <c r="P726" s="2"/>
      <c r="Q726" s="22"/>
      <c r="R726" s="22"/>
      <c r="U726" s="71"/>
      <c r="V726" s="71"/>
      <c r="W726" s="22"/>
    </row>
    <row r="727" spans="5:23" x14ac:dyDescent="0.25">
      <c r="E727" s="2"/>
      <c r="F727" s="2"/>
      <c r="G727" s="2"/>
      <c r="H727" s="22"/>
      <c r="L727" s="2"/>
      <c r="M727" s="2"/>
      <c r="N727" s="2"/>
      <c r="O727" s="2"/>
      <c r="P727" s="2"/>
      <c r="Q727" s="22"/>
      <c r="R727" s="22"/>
      <c r="U727" s="71"/>
      <c r="V727" s="71"/>
      <c r="W727" s="22"/>
    </row>
    <row r="728" spans="5:23" x14ac:dyDescent="0.25">
      <c r="E728" s="2"/>
      <c r="F728" s="2"/>
      <c r="G728" s="2"/>
      <c r="H728" s="22"/>
      <c r="L728" s="2"/>
      <c r="M728" s="2"/>
      <c r="N728" s="2"/>
      <c r="O728" s="2"/>
      <c r="P728" s="2"/>
      <c r="Q728" s="22"/>
      <c r="R728" s="22"/>
      <c r="U728" s="71"/>
      <c r="V728" s="71"/>
      <c r="W728" s="22"/>
    </row>
    <row r="729" spans="5:23" x14ac:dyDescent="0.25">
      <c r="E729" s="2"/>
      <c r="F729" s="2"/>
      <c r="G729" s="2"/>
      <c r="H729" s="22"/>
      <c r="L729" s="2"/>
      <c r="M729" s="2"/>
      <c r="N729" s="2"/>
      <c r="O729" s="2"/>
      <c r="P729" s="2"/>
      <c r="Q729" s="22"/>
      <c r="R729" s="22"/>
      <c r="U729" s="71"/>
      <c r="V729" s="71"/>
      <c r="W729" s="22"/>
    </row>
    <row r="730" spans="5:23" x14ac:dyDescent="0.25">
      <c r="E730" s="2"/>
      <c r="F730" s="2"/>
      <c r="G730" s="2"/>
      <c r="H730" s="22"/>
      <c r="L730" s="2"/>
      <c r="M730" s="2"/>
      <c r="N730" s="2"/>
      <c r="O730" s="2"/>
      <c r="P730" s="2"/>
      <c r="Q730" s="22"/>
      <c r="R730" s="22"/>
      <c r="U730" s="71"/>
      <c r="V730" s="71"/>
      <c r="W730" s="22"/>
    </row>
    <row r="731" spans="5:23" x14ac:dyDescent="0.25">
      <c r="E731" s="2"/>
      <c r="F731" s="2"/>
      <c r="G731" s="2"/>
      <c r="H731" s="22"/>
      <c r="L731" s="2"/>
      <c r="M731" s="2"/>
      <c r="N731" s="2"/>
      <c r="O731" s="2"/>
      <c r="P731" s="2"/>
      <c r="Q731" s="22"/>
      <c r="R731" s="22"/>
      <c r="U731" s="71"/>
      <c r="V731" s="71"/>
      <c r="W731" s="22"/>
    </row>
    <row r="732" spans="5:23" x14ac:dyDescent="0.25">
      <c r="E732" s="2"/>
      <c r="F732" s="2"/>
      <c r="G732" s="2"/>
      <c r="H732" s="22"/>
      <c r="L732" s="2"/>
      <c r="M732" s="2"/>
      <c r="N732" s="2"/>
      <c r="O732" s="2"/>
      <c r="P732" s="2"/>
      <c r="Q732" s="22"/>
      <c r="R732" s="22"/>
      <c r="U732" s="71"/>
      <c r="V732" s="71"/>
      <c r="W732" s="22"/>
    </row>
    <row r="733" spans="5:23" x14ac:dyDescent="0.25">
      <c r="E733" s="2"/>
      <c r="F733" s="2"/>
      <c r="G733" s="2"/>
      <c r="H733" s="22"/>
      <c r="L733" s="2"/>
      <c r="M733" s="2"/>
      <c r="N733" s="2"/>
      <c r="O733" s="2"/>
      <c r="P733" s="2"/>
      <c r="Q733" s="22"/>
      <c r="R733" s="22"/>
      <c r="U733" s="71"/>
      <c r="V733" s="71"/>
      <c r="W733" s="22"/>
    </row>
    <row r="734" spans="5:23" x14ac:dyDescent="0.25">
      <c r="E734" s="2"/>
      <c r="F734" s="2"/>
      <c r="G734" s="2"/>
      <c r="H734" s="22"/>
      <c r="L734" s="2"/>
      <c r="M734" s="2"/>
      <c r="N734" s="2"/>
      <c r="O734" s="2"/>
      <c r="P734" s="2"/>
      <c r="Q734" s="22"/>
      <c r="R734" s="22"/>
      <c r="U734" s="71"/>
      <c r="V734" s="71"/>
      <c r="W734" s="22"/>
    </row>
    <row r="735" spans="5:23" x14ac:dyDescent="0.25">
      <c r="E735" s="2"/>
      <c r="F735" s="2"/>
      <c r="G735" s="2"/>
      <c r="H735" s="22"/>
      <c r="L735" s="2"/>
      <c r="M735" s="2"/>
      <c r="N735" s="2"/>
      <c r="O735" s="2"/>
      <c r="P735" s="2"/>
      <c r="Q735" s="22"/>
      <c r="R735" s="22"/>
      <c r="U735" s="71"/>
      <c r="V735" s="71"/>
      <c r="W735" s="22"/>
    </row>
    <row r="736" spans="5:23" x14ac:dyDescent="0.25">
      <c r="E736" s="2"/>
      <c r="F736" s="2"/>
      <c r="G736" s="2"/>
      <c r="H736" s="22"/>
      <c r="L736" s="2"/>
      <c r="M736" s="2"/>
      <c r="N736" s="2"/>
      <c r="O736" s="2"/>
      <c r="P736" s="2"/>
      <c r="Q736" s="22"/>
      <c r="R736" s="22"/>
      <c r="U736" s="71"/>
      <c r="V736" s="71"/>
      <c r="W736" s="22"/>
    </row>
    <row r="737" spans="5:23" x14ac:dyDescent="0.25">
      <c r="E737" s="2"/>
      <c r="F737" s="2"/>
      <c r="G737" s="2"/>
      <c r="H737" s="22"/>
      <c r="L737" s="2"/>
      <c r="M737" s="2"/>
      <c r="N737" s="2"/>
      <c r="O737" s="2"/>
      <c r="P737" s="2"/>
      <c r="Q737" s="22"/>
      <c r="R737" s="22"/>
      <c r="U737" s="71"/>
      <c r="V737" s="71"/>
      <c r="W737" s="22"/>
    </row>
    <row r="738" spans="5:23" x14ac:dyDescent="0.25">
      <c r="E738" s="2"/>
      <c r="F738" s="2"/>
      <c r="G738" s="2"/>
      <c r="H738" s="22"/>
      <c r="L738" s="2"/>
      <c r="M738" s="2"/>
      <c r="N738" s="2"/>
      <c r="O738" s="2"/>
      <c r="P738" s="2"/>
      <c r="Q738" s="22"/>
      <c r="R738" s="22"/>
      <c r="U738" s="71"/>
      <c r="V738" s="71"/>
      <c r="W738" s="22"/>
    </row>
    <row r="739" spans="5:23" x14ac:dyDescent="0.25">
      <c r="E739" s="2"/>
      <c r="F739" s="2"/>
      <c r="G739" s="2"/>
      <c r="H739" s="22"/>
      <c r="L739" s="2"/>
      <c r="M739" s="2"/>
      <c r="N739" s="2"/>
      <c r="O739" s="2"/>
      <c r="P739" s="2"/>
      <c r="Q739" s="22"/>
      <c r="R739" s="22"/>
      <c r="U739" s="71"/>
      <c r="V739" s="71"/>
      <c r="W739" s="22"/>
    </row>
    <row r="740" spans="5:23" x14ac:dyDescent="0.25">
      <c r="E740" s="2"/>
      <c r="F740" s="2"/>
      <c r="G740" s="2"/>
      <c r="H740" s="22"/>
      <c r="L740" s="2"/>
      <c r="M740" s="2"/>
      <c r="N740" s="2"/>
      <c r="O740" s="2"/>
      <c r="P740" s="2"/>
      <c r="Q740" s="22"/>
      <c r="R740" s="22"/>
      <c r="U740" s="71"/>
      <c r="V740" s="71"/>
      <c r="W740" s="22"/>
    </row>
    <row r="741" spans="5:23" x14ac:dyDescent="0.25">
      <c r="E741" s="2"/>
      <c r="F741" s="2"/>
      <c r="G741" s="2"/>
      <c r="H741" s="22"/>
      <c r="L741" s="2"/>
      <c r="M741" s="2"/>
      <c r="N741" s="2"/>
      <c r="O741" s="2"/>
      <c r="P741" s="2"/>
      <c r="Q741" s="22"/>
      <c r="R741" s="22"/>
      <c r="U741" s="71"/>
      <c r="V741" s="71"/>
      <c r="W741" s="22"/>
    </row>
    <row r="742" spans="5:23" x14ac:dyDescent="0.25">
      <c r="E742" s="2"/>
      <c r="F742" s="2"/>
      <c r="G742" s="2"/>
      <c r="H742" s="22"/>
      <c r="L742" s="2"/>
      <c r="M742" s="2"/>
      <c r="N742" s="2"/>
      <c r="O742" s="2"/>
      <c r="P742" s="2"/>
      <c r="Q742" s="22"/>
      <c r="R742" s="22"/>
      <c r="U742" s="71"/>
      <c r="V742" s="71"/>
      <c r="W742" s="22"/>
    </row>
    <row r="743" spans="5:23" x14ac:dyDescent="0.25">
      <c r="E743" s="2"/>
      <c r="F743" s="2"/>
      <c r="G743" s="2"/>
      <c r="H743" s="22"/>
      <c r="L743" s="2"/>
      <c r="M743" s="2"/>
      <c r="N743" s="2"/>
      <c r="O743" s="2"/>
      <c r="P743" s="2"/>
      <c r="Q743" s="22"/>
      <c r="R743" s="22"/>
      <c r="U743" s="71"/>
      <c r="V743" s="71"/>
      <c r="W743" s="22"/>
    </row>
    <row r="744" spans="5:23" x14ac:dyDescent="0.25">
      <c r="E744" s="2"/>
      <c r="F744" s="2"/>
      <c r="G744" s="2"/>
      <c r="H744" s="22"/>
      <c r="L744" s="2"/>
      <c r="M744" s="2"/>
      <c r="N744" s="2"/>
      <c r="O744" s="2"/>
      <c r="P744" s="2"/>
      <c r="Q744" s="22"/>
      <c r="R744" s="22"/>
      <c r="U744" s="71"/>
      <c r="V744" s="71"/>
      <c r="W744" s="22"/>
    </row>
    <row r="745" spans="5:23" x14ac:dyDescent="0.25">
      <c r="E745" s="2"/>
      <c r="F745" s="2"/>
      <c r="G745" s="2"/>
      <c r="H745" s="22"/>
      <c r="L745" s="2"/>
      <c r="M745" s="2"/>
      <c r="N745" s="2"/>
      <c r="O745" s="2"/>
      <c r="P745" s="2"/>
      <c r="Q745" s="22"/>
      <c r="R745" s="22"/>
      <c r="U745" s="71"/>
      <c r="V745" s="71"/>
      <c r="W745" s="22"/>
    </row>
    <row r="746" spans="5:23" x14ac:dyDescent="0.25">
      <c r="E746" s="2"/>
      <c r="F746" s="2"/>
      <c r="G746" s="2"/>
      <c r="H746" s="22"/>
      <c r="L746" s="2"/>
      <c r="M746" s="2"/>
      <c r="N746" s="2"/>
      <c r="O746" s="2"/>
      <c r="P746" s="2"/>
      <c r="Q746" s="22"/>
      <c r="R746" s="22"/>
      <c r="U746" s="71"/>
      <c r="V746" s="71"/>
      <c r="W746" s="22"/>
    </row>
    <row r="747" spans="5:23" x14ac:dyDescent="0.25">
      <c r="E747" s="2"/>
      <c r="F747" s="2"/>
      <c r="G747" s="2"/>
      <c r="H747" s="22"/>
      <c r="L747" s="2"/>
      <c r="M747" s="2"/>
      <c r="N747" s="2"/>
      <c r="O747" s="2"/>
      <c r="P747" s="2"/>
      <c r="Q747" s="22"/>
      <c r="R747" s="22"/>
      <c r="U747" s="71"/>
      <c r="V747" s="71"/>
      <c r="W747" s="22"/>
    </row>
    <row r="748" spans="5:23" x14ac:dyDescent="0.25">
      <c r="E748" s="2"/>
      <c r="F748" s="2"/>
      <c r="G748" s="2"/>
      <c r="H748" s="22"/>
      <c r="L748" s="2"/>
      <c r="M748" s="2"/>
      <c r="N748" s="2"/>
      <c r="O748" s="2"/>
      <c r="P748" s="2"/>
      <c r="Q748" s="22"/>
      <c r="R748" s="22"/>
      <c r="U748" s="71"/>
      <c r="V748" s="71"/>
      <c r="W748" s="22"/>
    </row>
    <row r="749" spans="5:23" x14ac:dyDescent="0.25">
      <c r="E749" s="2"/>
      <c r="F749" s="2"/>
      <c r="G749" s="2"/>
      <c r="H749" s="22"/>
      <c r="L749" s="2"/>
      <c r="M749" s="2"/>
      <c r="N749" s="2"/>
      <c r="O749" s="2"/>
      <c r="P749" s="2"/>
      <c r="Q749" s="22"/>
      <c r="R749" s="22"/>
      <c r="U749" s="71"/>
      <c r="V749" s="71"/>
      <c r="W749" s="22"/>
    </row>
    <row r="750" spans="5:23" x14ac:dyDescent="0.25">
      <c r="E750" s="2"/>
      <c r="F750" s="2"/>
      <c r="G750" s="2"/>
      <c r="H750" s="22"/>
      <c r="L750" s="2"/>
      <c r="M750" s="2"/>
      <c r="N750" s="2"/>
      <c r="O750" s="2"/>
      <c r="P750" s="2"/>
      <c r="Q750" s="22"/>
      <c r="R750" s="22"/>
      <c r="U750" s="71"/>
      <c r="V750" s="71"/>
      <c r="W750" s="22"/>
    </row>
    <row r="751" spans="5:23" x14ac:dyDescent="0.25">
      <c r="E751" s="2"/>
      <c r="F751" s="2"/>
      <c r="G751" s="2"/>
      <c r="H751" s="22"/>
      <c r="L751" s="2"/>
      <c r="M751" s="2"/>
      <c r="N751" s="2"/>
      <c r="O751" s="2"/>
      <c r="P751" s="2"/>
      <c r="Q751" s="22"/>
      <c r="R751" s="22"/>
      <c r="U751" s="71"/>
      <c r="V751" s="71"/>
      <c r="W751" s="22"/>
    </row>
    <row r="752" spans="5:23" x14ac:dyDescent="0.25">
      <c r="E752" s="2"/>
      <c r="F752" s="2"/>
      <c r="G752" s="2"/>
      <c r="H752" s="22"/>
      <c r="L752" s="2"/>
      <c r="M752" s="2"/>
      <c r="N752" s="2"/>
      <c r="O752" s="2"/>
      <c r="P752" s="2"/>
      <c r="Q752" s="22"/>
      <c r="R752" s="22"/>
      <c r="U752" s="71"/>
      <c r="V752" s="71"/>
      <c r="W752" s="22"/>
    </row>
    <row r="753" spans="5:23" x14ac:dyDescent="0.25">
      <c r="E753" s="2"/>
      <c r="F753" s="2"/>
      <c r="G753" s="2"/>
      <c r="H753" s="22"/>
      <c r="L753" s="2"/>
      <c r="M753" s="2"/>
      <c r="N753" s="2"/>
      <c r="O753" s="2"/>
      <c r="P753" s="2"/>
      <c r="Q753" s="22"/>
      <c r="R753" s="22"/>
      <c r="U753" s="71"/>
      <c r="V753" s="71"/>
      <c r="W753" s="22"/>
    </row>
    <row r="754" spans="5:23" x14ac:dyDescent="0.25">
      <c r="E754" s="2"/>
      <c r="F754" s="2"/>
      <c r="G754" s="2"/>
      <c r="H754" s="22"/>
      <c r="L754" s="2"/>
      <c r="M754" s="2"/>
      <c r="N754" s="2"/>
      <c r="O754" s="2"/>
      <c r="P754" s="2"/>
      <c r="Q754" s="22"/>
      <c r="R754" s="22"/>
      <c r="U754" s="71"/>
      <c r="V754" s="71"/>
      <c r="W754" s="22"/>
    </row>
    <row r="755" spans="5:23" x14ac:dyDescent="0.25">
      <c r="E755" s="2"/>
      <c r="F755" s="2"/>
      <c r="G755" s="2"/>
      <c r="H755" s="22"/>
      <c r="L755" s="2"/>
      <c r="M755" s="2"/>
      <c r="N755" s="2"/>
      <c r="O755" s="2"/>
      <c r="P755" s="2"/>
      <c r="Q755" s="22"/>
      <c r="R755" s="22"/>
      <c r="U755" s="71"/>
      <c r="V755" s="71"/>
      <c r="W755" s="22"/>
    </row>
    <row r="756" spans="5:23" x14ac:dyDescent="0.25">
      <c r="E756" s="2"/>
      <c r="F756" s="2"/>
      <c r="G756" s="2"/>
      <c r="H756" s="22"/>
      <c r="L756" s="2"/>
      <c r="M756" s="2"/>
      <c r="N756" s="2"/>
      <c r="O756" s="2"/>
      <c r="P756" s="2"/>
      <c r="Q756" s="22"/>
      <c r="R756" s="22"/>
      <c r="U756" s="71"/>
      <c r="V756" s="71"/>
      <c r="W756" s="22"/>
    </row>
    <row r="757" spans="5:23" x14ac:dyDescent="0.25">
      <c r="E757" s="2"/>
      <c r="F757" s="2"/>
      <c r="G757" s="2"/>
      <c r="H757" s="22"/>
      <c r="L757" s="2"/>
      <c r="M757" s="2"/>
      <c r="N757" s="2"/>
      <c r="O757" s="2"/>
      <c r="P757" s="2"/>
      <c r="Q757" s="22"/>
      <c r="R757" s="22"/>
      <c r="U757" s="71"/>
      <c r="V757" s="71"/>
      <c r="W757" s="22"/>
    </row>
    <row r="758" spans="5:23" x14ac:dyDescent="0.25">
      <c r="E758" s="2"/>
      <c r="F758" s="2"/>
      <c r="G758" s="2"/>
      <c r="H758" s="22"/>
      <c r="L758" s="2"/>
      <c r="M758" s="2"/>
      <c r="N758" s="2"/>
      <c r="O758" s="2"/>
      <c r="P758" s="2"/>
      <c r="Q758" s="22"/>
      <c r="R758" s="22"/>
      <c r="U758" s="71"/>
      <c r="V758" s="71"/>
      <c r="W758" s="22"/>
    </row>
    <row r="759" spans="5:23" x14ac:dyDescent="0.25">
      <c r="E759" s="2"/>
      <c r="F759" s="2"/>
      <c r="G759" s="2"/>
      <c r="H759" s="22"/>
      <c r="L759" s="2"/>
      <c r="M759" s="2"/>
      <c r="N759" s="2"/>
      <c r="O759" s="2"/>
      <c r="P759" s="2"/>
      <c r="Q759" s="22"/>
      <c r="R759" s="22"/>
      <c r="U759" s="71"/>
      <c r="V759" s="71"/>
      <c r="W759" s="22"/>
    </row>
    <row r="760" spans="5:23" x14ac:dyDescent="0.25">
      <c r="E760" s="2"/>
      <c r="F760" s="2"/>
      <c r="G760" s="2"/>
      <c r="H760" s="22"/>
      <c r="L760" s="2"/>
      <c r="M760" s="2"/>
      <c r="N760" s="2"/>
      <c r="O760" s="2"/>
      <c r="P760" s="2"/>
      <c r="Q760" s="22"/>
      <c r="R760" s="22"/>
      <c r="U760" s="71"/>
      <c r="V760" s="71"/>
      <c r="W760" s="22"/>
    </row>
    <row r="761" spans="5:23" x14ac:dyDescent="0.25">
      <c r="E761" s="2"/>
      <c r="F761" s="2"/>
      <c r="G761" s="2"/>
      <c r="H761" s="22"/>
      <c r="L761" s="2"/>
      <c r="M761" s="2"/>
      <c r="N761" s="2"/>
      <c r="O761" s="2"/>
      <c r="P761" s="2"/>
      <c r="Q761" s="22"/>
      <c r="R761" s="22"/>
      <c r="U761" s="71"/>
      <c r="V761" s="71"/>
      <c r="W761" s="22"/>
    </row>
    <row r="762" spans="5:23" x14ac:dyDescent="0.25">
      <c r="E762" s="2"/>
      <c r="F762" s="2"/>
      <c r="G762" s="2"/>
      <c r="H762" s="22"/>
      <c r="L762" s="2"/>
      <c r="M762" s="2"/>
      <c r="N762" s="2"/>
      <c r="O762" s="2"/>
      <c r="P762" s="2"/>
      <c r="Q762" s="22"/>
      <c r="R762" s="22"/>
      <c r="U762" s="71"/>
      <c r="V762" s="71"/>
      <c r="W762" s="22"/>
    </row>
    <row r="763" spans="5:23" x14ac:dyDescent="0.25">
      <c r="E763" s="2"/>
      <c r="F763" s="2"/>
      <c r="G763" s="2"/>
      <c r="H763" s="22"/>
      <c r="L763" s="2"/>
      <c r="M763" s="2"/>
      <c r="N763" s="2"/>
      <c r="O763" s="2"/>
      <c r="P763" s="2"/>
      <c r="Q763" s="22"/>
      <c r="R763" s="22"/>
      <c r="U763" s="71"/>
      <c r="V763" s="71"/>
      <c r="W763" s="22"/>
    </row>
    <row r="764" spans="5:23" x14ac:dyDescent="0.25">
      <c r="E764" s="2"/>
      <c r="F764" s="2"/>
      <c r="G764" s="2"/>
      <c r="H764" s="22"/>
      <c r="L764" s="2"/>
      <c r="M764" s="2"/>
      <c r="N764" s="2"/>
      <c r="O764" s="2"/>
      <c r="P764" s="2"/>
      <c r="Q764" s="22"/>
      <c r="R764" s="22"/>
      <c r="U764" s="71"/>
      <c r="V764" s="71"/>
      <c r="W764" s="22"/>
    </row>
    <row r="765" spans="5:23" x14ac:dyDescent="0.25">
      <c r="E765" s="2"/>
      <c r="F765" s="2"/>
      <c r="G765" s="2"/>
      <c r="H765" s="22"/>
      <c r="L765" s="2"/>
      <c r="M765" s="2"/>
      <c r="N765" s="2"/>
      <c r="O765" s="2"/>
      <c r="P765" s="2"/>
      <c r="Q765" s="22"/>
      <c r="R765" s="22"/>
      <c r="U765" s="71"/>
      <c r="V765" s="71"/>
      <c r="W765" s="22"/>
    </row>
    <row r="766" spans="5:23" x14ac:dyDescent="0.25">
      <c r="E766" s="2"/>
      <c r="F766" s="2"/>
      <c r="G766" s="2"/>
      <c r="H766" s="22"/>
      <c r="L766" s="2"/>
      <c r="M766" s="2"/>
      <c r="N766" s="2"/>
      <c r="O766" s="2"/>
      <c r="P766" s="2"/>
      <c r="Q766" s="22"/>
      <c r="R766" s="22"/>
      <c r="U766" s="71"/>
      <c r="V766" s="71"/>
      <c r="W766" s="22"/>
    </row>
    <row r="767" spans="5:23" x14ac:dyDescent="0.25">
      <c r="E767" s="2"/>
      <c r="F767" s="2"/>
      <c r="G767" s="2"/>
      <c r="H767" s="22"/>
      <c r="L767" s="2"/>
      <c r="M767" s="2"/>
      <c r="N767" s="2"/>
      <c r="O767" s="2"/>
      <c r="P767" s="2"/>
      <c r="Q767" s="22"/>
      <c r="R767" s="22"/>
      <c r="U767" s="71"/>
      <c r="V767" s="71"/>
      <c r="W767" s="22"/>
    </row>
    <row r="768" spans="5:23" x14ac:dyDescent="0.25">
      <c r="E768" s="2"/>
      <c r="F768" s="2"/>
      <c r="G768" s="2"/>
      <c r="H768" s="22"/>
      <c r="L768" s="2"/>
      <c r="M768" s="2"/>
      <c r="N768" s="2"/>
      <c r="O768" s="2"/>
      <c r="P768" s="2"/>
      <c r="Q768" s="22"/>
      <c r="R768" s="22"/>
      <c r="U768" s="71"/>
      <c r="V768" s="71"/>
      <c r="W768" s="22"/>
    </row>
    <row r="769" spans="5:23" x14ac:dyDescent="0.25">
      <c r="E769" s="2"/>
      <c r="F769" s="2"/>
      <c r="G769" s="2"/>
      <c r="H769" s="22"/>
      <c r="L769" s="2"/>
      <c r="M769" s="2"/>
      <c r="N769" s="2"/>
      <c r="O769" s="2"/>
      <c r="P769" s="2"/>
      <c r="Q769" s="22"/>
      <c r="R769" s="22"/>
      <c r="U769" s="71"/>
      <c r="V769" s="71"/>
      <c r="W769" s="22"/>
    </row>
    <row r="770" spans="5:23" x14ac:dyDescent="0.25">
      <c r="E770" s="2"/>
      <c r="F770" s="2"/>
      <c r="G770" s="2"/>
      <c r="H770" s="22"/>
      <c r="L770" s="2"/>
      <c r="M770" s="2"/>
      <c r="N770" s="2"/>
      <c r="O770" s="2"/>
      <c r="P770" s="2"/>
      <c r="Q770" s="22"/>
      <c r="R770" s="22"/>
      <c r="U770" s="71"/>
      <c r="V770" s="71"/>
      <c r="W770" s="22"/>
    </row>
    <row r="771" spans="5:23" x14ac:dyDescent="0.25">
      <c r="E771" s="2"/>
      <c r="F771" s="2"/>
      <c r="G771" s="2"/>
      <c r="H771" s="22"/>
      <c r="L771" s="2"/>
      <c r="M771" s="2"/>
      <c r="N771" s="2"/>
      <c r="O771" s="2"/>
      <c r="P771" s="2"/>
      <c r="Q771" s="22"/>
      <c r="R771" s="22"/>
      <c r="U771" s="71"/>
      <c r="V771" s="71"/>
      <c r="W771" s="22"/>
    </row>
    <row r="772" spans="5:23" x14ac:dyDescent="0.25">
      <c r="E772" s="2"/>
      <c r="F772" s="2"/>
      <c r="G772" s="2"/>
      <c r="H772" s="22"/>
      <c r="L772" s="2"/>
      <c r="M772" s="2"/>
      <c r="N772" s="2"/>
      <c r="O772" s="2"/>
      <c r="P772" s="2"/>
      <c r="Q772" s="22"/>
      <c r="R772" s="22"/>
      <c r="U772" s="71"/>
      <c r="V772" s="71"/>
      <c r="W772" s="22"/>
    </row>
    <row r="773" spans="5:23" x14ac:dyDescent="0.25">
      <c r="E773" s="2"/>
      <c r="F773" s="2"/>
      <c r="G773" s="2"/>
      <c r="H773" s="22"/>
      <c r="L773" s="2"/>
      <c r="M773" s="2"/>
      <c r="N773" s="2"/>
      <c r="O773" s="2"/>
      <c r="P773" s="2"/>
      <c r="Q773" s="22"/>
      <c r="R773" s="22"/>
      <c r="U773" s="71"/>
      <c r="V773" s="71"/>
      <c r="W773" s="22"/>
    </row>
    <row r="774" spans="5:23" x14ac:dyDescent="0.25">
      <c r="E774" s="2"/>
      <c r="F774" s="2"/>
      <c r="G774" s="2"/>
      <c r="H774" s="22"/>
      <c r="L774" s="2"/>
      <c r="M774" s="2"/>
      <c r="N774" s="2"/>
      <c r="O774" s="2"/>
      <c r="P774" s="2"/>
      <c r="Q774" s="22"/>
      <c r="R774" s="22"/>
      <c r="U774" s="71"/>
      <c r="V774" s="71"/>
      <c r="W774" s="22"/>
    </row>
    <row r="775" spans="5:23" x14ac:dyDescent="0.25">
      <c r="E775" s="2"/>
      <c r="F775" s="2"/>
      <c r="G775" s="2"/>
      <c r="H775" s="22"/>
      <c r="L775" s="2"/>
      <c r="M775" s="2"/>
      <c r="N775" s="2"/>
      <c r="O775" s="2"/>
      <c r="P775" s="2"/>
      <c r="Q775" s="22"/>
      <c r="R775" s="22"/>
      <c r="U775" s="71"/>
      <c r="V775" s="71"/>
      <c r="W775" s="22"/>
    </row>
    <row r="776" spans="5:23" x14ac:dyDescent="0.25">
      <c r="E776" s="2"/>
      <c r="F776" s="2"/>
      <c r="G776" s="2"/>
      <c r="H776" s="22"/>
      <c r="L776" s="2"/>
      <c r="M776" s="2"/>
      <c r="N776" s="2"/>
      <c r="O776" s="2"/>
      <c r="P776" s="2"/>
      <c r="Q776" s="22"/>
      <c r="R776" s="22"/>
      <c r="U776" s="71"/>
      <c r="V776" s="71"/>
      <c r="W776" s="22"/>
    </row>
    <row r="777" spans="5:23" x14ac:dyDescent="0.25">
      <c r="E777" s="2"/>
      <c r="F777" s="2"/>
      <c r="G777" s="2"/>
      <c r="H777" s="22"/>
      <c r="L777" s="2"/>
      <c r="M777" s="2"/>
      <c r="N777" s="2"/>
      <c r="O777" s="2"/>
      <c r="P777" s="2"/>
      <c r="Q777" s="22"/>
      <c r="R777" s="22"/>
      <c r="U777" s="71"/>
      <c r="V777" s="71"/>
      <c r="W777" s="22"/>
    </row>
    <row r="778" spans="5:23" x14ac:dyDescent="0.25">
      <c r="E778" s="2"/>
      <c r="F778" s="2"/>
      <c r="G778" s="2"/>
      <c r="H778" s="22"/>
      <c r="L778" s="2"/>
      <c r="M778" s="2"/>
      <c r="N778" s="2"/>
      <c r="O778" s="2"/>
      <c r="P778" s="2"/>
      <c r="Q778" s="22"/>
      <c r="R778" s="22"/>
      <c r="U778" s="71"/>
      <c r="V778" s="71"/>
      <c r="W778" s="22"/>
    </row>
    <row r="779" spans="5:23" x14ac:dyDescent="0.25">
      <c r="E779" s="2"/>
      <c r="F779" s="2"/>
      <c r="G779" s="2"/>
      <c r="H779" s="22"/>
      <c r="L779" s="2"/>
      <c r="M779" s="2"/>
      <c r="N779" s="2"/>
      <c r="O779" s="2"/>
      <c r="P779" s="2"/>
      <c r="Q779" s="22"/>
      <c r="R779" s="22"/>
      <c r="U779" s="71"/>
      <c r="V779" s="71"/>
      <c r="W779" s="22"/>
    </row>
    <row r="780" spans="5:23" x14ac:dyDescent="0.25">
      <c r="E780" s="2"/>
      <c r="F780" s="2"/>
      <c r="G780" s="2"/>
      <c r="H780" s="22"/>
      <c r="L780" s="2"/>
      <c r="M780" s="2"/>
      <c r="N780" s="2"/>
      <c r="O780" s="2"/>
      <c r="P780" s="2"/>
      <c r="Q780" s="22"/>
      <c r="R780" s="22"/>
      <c r="U780" s="71"/>
      <c r="V780" s="71"/>
      <c r="W780" s="22"/>
    </row>
    <row r="781" spans="5:23" x14ac:dyDescent="0.25">
      <c r="E781" s="2"/>
      <c r="F781" s="2"/>
      <c r="G781" s="2"/>
      <c r="H781" s="22"/>
      <c r="L781" s="2"/>
      <c r="M781" s="2"/>
      <c r="N781" s="2"/>
      <c r="O781" s="2"/>
      <c r="P781" s="2"/>
      <c r="Q781" s="22"/>
      <c r="R781" s="22"/>
      <c r="U781" s="71"/>
      <c r="V781" s="71"/>
      <c r="W781" s="22"/>
    </row>
    <row r="782" spans="5:23" x14ac:dyDescent="0.25">
      <c r="E782" s="2"/>
      <c r="F782" s="2"/>
      <c r="G782" s="2"/>
      <c r="H782" s="22"/>
      <c r="L782" s="2"/>
      <c r="M782" s="2"/>
      <c r="N782" s="2"/>
      <c r="O782" s="2"/>
      <c r="P782" s="2"/>
      <c r="Q782" s="22"/>
      <c r="R782" s="22"/>
      <c r="U782" s="71"/>
      <c r="V782" s="71"/>
      <c r="W782" s="22"/>
    </row>
    <row r="783" spans="5:23" x14ac:dyDescent="0.25">
      <c r="E783" s="2"/>
      <c r="F783" s="2"/>
      <c r="G783" s="2"/>
      <c r="H783" s="22"/>
      <c r="L783" s="2"/>
      <c r="M783" s="2"/>
      <c r="N783" s="2"/>
      <c r="O783" s="2"/>
      <c r="P783" s="2"/>
      <c r="Q783" s="22"/>
      <c r="R783" s="22"/>
      <c r="U783" s="71"/>
      <c r="V783" s="71"/>
      <c r="W783" s="22"/>
    </row>
    <row r="784" spans="5:23" x14ac:dyDescent="0.25">
      <c r="E784" s="2"/>
      <c r="F784" s="2"/>
      <c r="G784" s="2"/>
      <c r="H784" s="22"/>
      <c r="L784" s="2"/>
      <c r="M784" s="2"/>
      <c r="N784" s="2"/>
      <c r="O784" s="2"/>
      <c r="P784" s="2"/>
      <c r="Q784" s="22"/>
      <c r="R784" s="22"/>
      <c r="U784" s="71"/>
      <c r="V784" s="71"/>
      <c r="W784" s="22"/>
    </row>
    <row r="785" spans="5:23" x14ac:dyDescent="0.25">
      <c r="E785" s="2"/>
      <c r="F785" s="2"/>
      <c r="G785" s="2"/>
      <c r="H785" s="22"/>
      <c r="L785" s="2"/>
      <c r="M785" s="2"/>
      <c r="N785" s="2"/>
      <c r="O785" s="2"/>
      <c r="P785" s="2"/>
      <c r="Q785" s="22"/>
      <c r="R785" s="22"/>
      <c r="U785" s="71"/>
      <c r="V785" s="71"/>
      <c r="W785" s="22"/>
    </row>
    <row r="786" spans="5:23" x14ac:dyDescent="0.25">
      <c r="E786" s="2"/>
      <c r="F786" s="2"/>
      <c r="G786" s="2"/>
      <c r="H786" s="22"/>
      <c r="L786" s="2"/>
      <c r="M786" s="2"/>
      <c r="N786" s="2"/>
      <c r="O786" s="2"/>
      <c r="P786" s="2"/>
      <c r="Q786" s="22"/>
      <c r="R786" s="22"/>
      <c r="U786" s="71"/>
      <c r="V786" s="71"/>
      <c r="W786" s="22"/>
    </row>
    <row r="787" spans="5:23" x14ac:dyDescent="0.25">
      <c r="E787" s="2"/>
      <c r="F787" s="2"/>
      <c r="G787" s="2"/>
      <c r="H787" s="22"/>
      <c r="L787" s="2"/>
      <c r="M787" s="2"/>
      <c r="N787" s="2"/>
      <c r="O787" s="2"/>
      <c r="P787" s="2"/>
      <c r="Q787" s="22"/>
      <c r="R787" s="22"/>
      <c r="U787" s="71"/>
      <c r="V787" s="71"/>
      <c r="W787" s="22"/>
    </row>
    <row r="788" spans="5:23" x14ac:dyDescent="0.25">
      <c r="E788" s="2"/>
      <c r="F788" s="2"/>
      <c r="G788" s="2"/>
      <c r="H788" s="22"/>
      <c r="L788" s="2"/>
      <c r="M788" s="2"/>
      <c r="N788" s="2"/>
      <c r="O788" s="2"/>
      <c r="P788" s="2"/>
      <c r="Q788" s="22"/>
      <c r="R788" s="22"/>
      <c r="U788" s="71"/>
      <c r="V788" s="71"/>
      <c r="W788" s="22"/>
    </row>
    <row r="789" spans="5:23" x14ac:dyDescent="0.25">
      <c r="E789" s="2"/>
      <c r="F789" s="2"/>
      <c r="G789" s="2"/>
      <c r="H789" s="22"/>
      <c r="L789" s="2"/>
      <c r="M789" s="2"/>
      <c r="N789" s="2"/>
      <c r="O789" s="2"/>
      <c r="P789" s="2"/>
      <c r="Q789" s="22"/>
      <c r="R789" s="22"/>
      <c r="U789" s="71"/>
      <c r="V789" s="71"/>
      <c r="W789" s="22"/>
    </row>
    <row r="790" spans="5:23" x14ac:dyDescent="0.25">
      <c r="E790" s="2"/>
      <c r="F790" s="2"/>
      <c r="G790" s="2"/>
      <c r="H790" s="22"/>
      <c r="L790" s="2"/>
      <c r="M790" s="2"/>
      <c r="N790" s="2"/>
      <c r="O790" s="2"/>
      <c r="P790" s="2"/>
      <c r="Q790" s="22"/>
      <c r="R790" s="22"/>
      <c r="U790" s="71"/>
      <c r="V790" s="71"/>
      <c r="W790" s="22"/>
    </row>
    <row r="791" spans="5:23" x14ac:dyDescent="0.25">
      <c r="E791" s="2"/>
      <c r="F791" s="2"/>
      <c r="G791" s="2"/>
      <c r="H791" s="22"/>
      <c r="L791" s="2"/>
      <c r="M791" s="2"/>
      <c r="N791" s="2"/>
      <c r="O791" s="2"/>
      <c r="P791" s="2"/>
      <c r="Q791" s="22"/>
      <c r="R791" s="22"/>
      <c r="U791" s="71"/>
      <c r="V791" s="71"/>
      <c r="W791" s="22"/>
    </row>
    <row r="792" spans="5:23" x14ac:dyDescent="0.25">
      <c r="E792" s="2"/>
      <c r="F792" s="2"/>
      <c r="G792" s="2"/>
      <c r="H792" s="22"/>
      <c r="L792" s="2"/>
      <c r="M792" s="2"/>
      <c r="N792" s="2"/>
      <c r="O792" s="2"/>
      <c r="P792" s="2"/>
      <c r="Q792" s="22"/>
      <c r="R792" s="22"/>
      <c r="U792" s="71"/>
      <c r="V792" s="71"/>
      <c r="W792" s="22"/>
    </row>
    <row r="793" spans="5:23" x14ac:dyDescent="0.25">
      <c r="E793" s="2"/>
      <c r="F793" s="2"/>
      <c r="G793" s="2"/>
      <c r="H793" s="22"/>
      <c r="L793" s="2"/>
      <c r="M793" s="2"/>
      <c r="N793" s="2"/>
      <c r="O793" s="2"/>
      <c r="P793" s="2"/>
      <c r="Q793" s="22"/>
      <c r="R793" s="22"/>
      <c r="U793" s="71"/>
      <c r="V793" s="71"/>
      <c r="W793" s="22"/>
    </row>
    <row r="794" spans="5:23" x14ac:dyDescent="0.25">
      <c r="E794" s="2"/>
      <c r="F794" s="2"/>
      <c r="G794" s="2"/>
      <c r="H794" s="22"/>
      <c r="L794" s="2"/>
      <c r="M794" s="2"/>
      <c r="N794" s="2"/>
      <c r="O794" s="2"/>
      <c r="P794" s="2"/>
      <c r="Q794" s="22"/>
      <c r="R794" s="22"/>
      <c r="U794" s="71"/>
      <c r="V794" s="71"/>
      <c r="W794" s="22"/>
    </row>
    <row r="795" spans="5:23" x14ac:dyDescent="0.25">
      <c r="E795" s="2"/>
      <c r="F795" s="2"/>
      <c r="G795" s="2"/>
      <c r="H795" s="22"/>
      <c r="L795" s="2"/>
      <c r="M795" s="2"/>
      <c r="N795" s="2"/>
      <c r="O795" s="2"/>
      <c r="P795" s="2"/>
      <c r="Q795" s="22"/>
      <c r="R795" s="22"/>
      <c r="U795" s="71"/>
      <c r="V795" s="71"/>
      <c r="W795" s="22"/>
    </row>
    <row r="796" spans="5:23" x14ac:dyDescent="0.25">
      <c r="E796" s="2"/>
      <c r="F796" s="2"/>
      <c r="G796" s="2"/>
      <c r="H796" s="22"/>
      <c r="L796" s="2"/>
      <c r="M796" s="2"/>
      <c r="N796" s="2"/>
      <c r="O796" s="2"/>
      <c r="P796" s="2"/>
      <c r="Q796" s="22"/>
      <c r="R796" s="22"/>
      <c r="U796" s="71"/>
      <c r="V796" s="71"/>
      <c r="W796" s="22"/>
    </row>
    <row r="797" spans="5:23" x14ac:dyDescent="0.25">
      <c r="E797" s="2"/>
      <c r="F797" s="2"/>
      <c r="G797" s="2"/>
      <c r="H797" s="22"/>
      <c r="L797" s="2"/>
      <c r="M797" s="2"/>
      <c r="N797" s="2"/>
      <c r="O797" s="2"/>
      <c r="P797" s="2"/>
      <c r="Q797" s="22"/>
      <c r="R797" s="22"/>
      <c r="U797" s="71"/>
      <c r="V797" s="71"/>
      <c r="W797" s="22"/>
    </row>
    <row r="798" spans="5:23" x14ac:dyDescent="0.25">
      <c r="E798" s="2"/>
      <c r="F798" s="2"/>
      <c r="G798" s="2"/>
      <c r="H798" s="22"/>
      <c r="L798" s="2"/>
      <c r="M798" s="2"/>
      <c r="N798" s="2"/>
      <c r="O798" s="2"/>
      <c r="P798" s="2"/>
      <c r="Q798" s="22"/>
      <c r="R798" s="22"/>
      <c r="U798" s="71"/>
      <c r="V798" s="71"/>
      <c r="W798" s="22"/>
    </row>
    <row r="799" spans="5:23" x14ac:dyDescent="0.25">
      <c r="E799" s="2"/>
      <c r="F799" s="2"/>
      <c r="G799" s="2"/>
      <c r="H799" s="22"/>
      <c r="L799" s="2"/>
      <c r="M799" s="2"/>
      <c r="N799" s="2"/>
      <c r="O799" s="2"/>
      <c r="P799" s="2"/>
      <c r="Q799" s="22"/>
      <c r="R799" s="22"/>
      <c r="U799" s="71"/>
      <c r="V799" s="71"/>
      <c r="W799" s="22"/>
    </row>
    <row r="800" spans="5:23" x14ac:dyDescent="0.25">
      <c r="E800" s="2"/>
      <c r="F800" s="2"/>
      <c r="G800" s="2"/>
      <c r="H800" s="22"/>
      <c r="L800" s="2"/>
      <c r="M800" s="2"/>
      <c r="N800" s="2"/>
      <c r="O800" s="2"/>
      <c r="P800" s="2"/>
      <c r="Q800" s="22"/>
      <c r="R800" s="22"/>
      <c r="U800" s="71"/>
      <c r="V800" s="71"/>
      <c r="W800" s="22"/>
    </row>
    <row r="801" spans="5:23" x14ac:dyDescent="0.25">
      <c r="E801" s="2"/>
      <c r="F801" s="2"/>
      <c r="G801" s="2"/>
      <c r="H801" s="22"/>
      <c r="L801" s="2"/>
      <c r="M801" s="2"/>
      <c r="N801" s="2"/>
      <c r="O801" s="2"/>
      <c r="P801" s="2"/>
      <c r="Q801" s="22"/>
      <c r="R801" s="22"/>
      <c r="U801" s="71"/>
      <c r="V801" s="71"/>
      <c r="W801" s="22"/>
    </row>
    <row r="802" spans="5:23" x14ac:dyDescent="0.25">
      <c r="E802" s="2"/>
      <c r="F802" s="2"/>
      <c r="G802" s="2"/>
      <c r="H802" s="22"/>
      <c r="L802" s="2"/>
      <c r="M802" s="2"/>
      <c r="N802" s="2"/>
      <c r="O802" s="2"/>
      <c r="P802" s="2"/>
      <c r="Q802" s="22"/>
      <c r="R802" s="22"/>
      <c r="U802" s="71"/>
      <c r="V802" s="71"/>
      <c r="W802" s="22"/>
    </row>
    <row r="803" spans="5:23" x14ac:dyDescent="0.25">
      <c r="E803" s="2"/>
      <c r="F803" s="2"/>
      <c r="G803" s="2"/>
      <c r="H803" s="22"/>
      <c r="L803" s="2"/>
      <c r="M803" s="2"/>
      <c r="N803" s="2"/>
      <c r="O803" s="2"/>
      <c r="P803" s="2"/>
      <c r="Q803" s="22"/>
      <c r="R803" s="22"/>
      <c r="U803" s="71"/>
      <c r="V803" s="71"/>
      <c r="W803" s="22"/>
    </row>
    <row r="804" spans="5:23" x14ac:dyDescent="0.25">
      <c r="E804" s="2"/>
      <c r="F804" s="2"/>
      <c r="G804" s="2"/>
      <c r="H804" s="22"/>
      <c r="L804" s="2"/>
      <c r="M804" s="2"/>
      <c r="N804" s="2"/>
      <c r="O804" s="2"/>
      <c r="P804" s="2"/>
      <c r="Q804" s="22"/>
      <c r="R804" s="22"/>
      <c r="U804" s="71"/>
      <c r="V804" s="71"/>
      <c r="W804" s="22"/>
    </row>
    <row r="805" spans="5:23" x14ac:dyDescent="0.25">
      <c r="E805" s="2"/>
      <c r="F805" s="2"/>
      <c r="G805" s="2"/>
      <c r="H805" s="22"/>
      <c r="L805" s="2"/>
      <c r="M805" s="2"/>
      <c r="N805" s="2"/>
      <c r="O805" s="2"/>
      <c r="P805" s="2"/>
      <c r="Q805" s="22"/>
      <c r="R805" s="22"/>
      <c r="U805" s="71"/>
      <c r="V805" s="71"/>
      <c r="W805" s="22"/>
    </row>
    <row r="806" spans="5:23" x14ac:dyDescent="0.25">
      <c r="E806" s="2"/>
      <c r="F806" s="2"/>
      <c r="G806" s="2"/>
      <c r="H806" s="22"/>
      <c r="L806" s="2"/>
      <c r="M806" s="2"/>
      <c r="N806" s="2"/>
      <c r="O806" s="2"/>
      <c r="P806" s="2"/>
      <c r="Q806" s="22"/>
      <c r="R806" s="22"/>
      <c r="U806" s="71"/>
      <c r="V806" s="71"/>
      <c r="W806" s="22"/>
    </row>
    <row r="807" spans="5:23" x14ac:dyDescent="0.25">
      <c r="E807" s="2"/>
      <c r="F807" s="2"/>
      <c r="G807" s="2"/>
      <c r="H807" s="22"/>
      <c r="L807" s="2"/>
      <c r="M807" s="2"/>
      <c r="N807" s="2"/>
      <c r="O807" s="2"/>
      <c r="P807" s="2"/>
      <c r="Q807" s="22"/>
      <c r="R807" s="22"/>
      <c r="U807" s="71"/>
      <c r="V807" s="71"/>
      <c r="W807" s="22"/>
    </row>
    <row r="808" spans="5:23" x14ac:dyDescent="0.25">
      <c r="E808" s="2"/>
      <c r="F808" s="2"/>
      <c r="G808" s="2"/>
      <c r="H808" s="22"/>
      <c r="L808" s="2"/>
      <c r="M808" s="2"/>
      <c r="N808" s="2"/>
      <c r="O808" s="2"/>
      <c r="P808" s="2"/>
      <c r="Q808" s="22"/>
      <c r="R808" s="22"/>
      <c r="U808" s="71"/>
      <c r="V808" s="71"/>
      <c r="W808" s="22"/>
    </row>
    <row r="809" spans="5:23" x14ac:dyDescent="0.25">
      <c r="E809" s="2"/>
      <c r="F809" s="2"/>
      <c r="G809" s="2"/>
      <c r="H809" s="22"/>
      <c r="L809" s="2"/>
      <c r="M809" s="2"/>
      <c r="N809" s="2"/>
      <c r="O809" s="2"/>
      <c r="P809" s="2"/>
      <c r="Q809" s="22"/>
      <c r="R809" s="22"/>
      <c r="U809" s="71"/>
      <c r="V809" s="71"/>
      <c r="W809" s="22"/>
    </row>
    <row r="810" spans="5:23" x14ac:dyDescent="0.25">
      <c r="E810" s="2"/>
      <c r="F810" s="2"/>
      <c r="G810" s="2"/>
      <c r="H810" s="22"/>
      <c r="L810" s="2"/>
      <c r="M810" s="2"/>
      <c r="N810" s="2"/>
      <c r="O810" s="2"/>
      <c r="P810" s="2"/>
      <c r="Q810" s="22"/>
      <c r="R810" s="22"/>
      <c r="U810" s="71"/>
      <c r="V810" s="71"/>
      <c r="W810" s="22"/>
    </row>
    <row r="811" spans="5:23" x14ac:dyDescent="0.25">
      <c r="E811" s="2"/>
      <c r="F811" s="2"/>
      <c r="G811" s="2"/>
      <c r="H811" s="22"/>
      <c r="L811" s="2"/>
      <c r="M811" s="2"/>
      <c r="N811" s="2"/>
      <c r="O811" s="2"/>
      <c r="P811" s="2"/>
      <c r="Q811" s="22"/>
      <c r="R811" s="22"/>
      <c r="U811" s="71"/>
      <c r="V811" s="71"/>
      <c r="W811" s="22"/>
    </row>
    <row r="812" spans="5:23" x14ac:dyDescent="0.25">
      <c r="E812" s="2"/>
      <c r="F812" s="2"/>
      <c r="G812" s="2"/>
      <c r="H812" s="22"/>
      <c r="L812" s="2"/>
      <c r="M812" s="2"/>
      <c r="N812" s="2"/>
      <c r="O812" s="2"/>
      <c r="P812" s="2"/>
      <c r="Q812" s="22"/>
      <c r="R812" s="22"/>
      <c r="U812" s="71"/>
      <c r="V812" s="71"/>
      <c r="W812" s="22"/>
    </row>
    <row r="813" spans="5:23" x14ac:dyDescent="0.25">
      <c r="E813" s="2"/>
      <c r="F813" s="2"/>
      <c r="G813" s="2"/>
      <c r="H813" s="22"/>
      <c r="L813" s="2"/>
      <c r="M813" s="2"/>
      <c r="N813" s="2"/>
      <c r="O813" s="2"/>
      <c r="P813" s="2"/>
      <c r="Q813" s="22"/>
      <c r="R813" s="22"/>
      <c r="U813" s="71"/>
      <c r="V813" s="71"/>
      <c r="W813" s="22"/>
    </row>
    <row r="814" spans="5:23" x14ac:dyDescent="0.25">
      <c r="E814" s="2"/>
      <c r="F814" s="2"/>
      <c r="G814" s="2"/>
      <c r="H814" s="22"/>
      <c r="L814" s="2"/>
      <c r="M814" s="2"/>
      <c r="N814" s="2"/>
      <c r="O814" s="2"/>
      <c r="P814" s="2"/>
      <c r="Q814" s="22"/>
      <c r="R814" s="22"/>
      <c r="U814" s="71"/>
      <c r="V814" s="71"/>
      <c r="W814" s="22"/>
    </row>
    <row r="815" spans="5:23" x14ac:dyDescent="0.25">
      <c r="E815" s="2"/>
      <c r="F815" s="2"/>
      <c r="G815" s="2"/>
      <c r="H815" s="22"/>
      <c r="L815" s="2"/>
      <c r="M815" s="2"/>
      <c r="N815" s="2"/>
      <c r="O815" s="2"/>
      <c r="P815" s="2"/>
      <c r="Q815" s="22"/>
      <c r="R815" s="22"/>
      <c r="U815" s="71"/>
      <c r="V815" s="71"/>
      <c r="W815" s="22"/>
    </row>
    <row r="816" spans="5:23" x14ac:dyDescent="0.25">
      <c r="E816" s="2"/>
      <c r="F816" s="2"/>
      <c r="G816" s="2"/>
      <c r="H816" s="22"/>
      <c r="L816" s="2"/>
      <c r="M816" s="2"/>
      <c r="N816" s="2"/>
      <c r="O816" s="2"/>
      <c r="P816" s="2"/>
      <c r="Q816" s="22"/>
      <c r="R816" s="22"/>
      <c r="U816" s="71"/>
      <c r="V816" s="71"/>
      <c r="W816" s="22"/>
    </row>
    <row r="817" spans="5:23" x14ac:dyDescent="0.25">
      <c r="E817" s="2"/>
      <c r="F817" s="2"/>
      <c r="G817" s="2"/>
      <c r="H817" s="22"/>
      <c r="L817" s="2"/>
      <c r="M817" s="2"/>
      <c r="N817" s="2"/>
      <c r="O817" s="2"/>
      <c r="P817" s="2"/>
      <c r="Q817" s="22"/>
      <c r="R817" s="22"/>
      <c r="U817" s="71"/>
      <c r="V817" s="71"/>
      <c r="W817" s="22"/>
    </row>
    <row r="818" spans="5:23" x14ac:dyDescent="0.25">
      <c r="E818" s="2"/>
      <c r="F818" s="2"/>
      <c r="G818" s="2"/>
      <c r="H818" s="22"/>
      <c r="L818" s="2"/>
      <c r="M818" s="2"/>
      <c r="N818" s="2"/>
      <c r="O818" s="2"/>
      <c r="P818" s="2"/>
      <c r="Q818" s="22"/>
      <c r="R818" s="22"/>
      <c r="U818" s="71"/>
      <c r="V818" s="71"/>
      <c r="W818" s="22"/>
    </row>
    <row r="819" spans="5:23" x14ac:dyDescent="0.25">
      <c r="E819" s="2"/>
      <c r="F819" s="2"/>
      <c r="G819" s="2"/>
      <c r="H819" s="22"/>
      <c r="L819" s="2"/>
      <c r="M819" s="2"/>
      <c r="N819" s="2"/>
      <c r="O819" s="2"/>
      <c r="P819" s="2"/>
      <c r="Q819" s="22"/>
      <c r="R819" s="22"/>
      <c r="U819" s="71"/>
      <c r="V819" s="71"/>
      <c r="W819" s="22"/>
    </row>
    <row r="820" spans="5:23" x14ac:dyDescent="0.25">
      <c r="E820" s="2"/>
      <c r="F820" s="2"/>
      <c r="G820" s="2"/>
      <c r="H820" s="22"/>
      <c r="L820" s="2"/>
      <c r="M820" s="2"/>
      <c r="N820" s="2"/>
      <c r="O820" s="2"/>
      <c r="P820" s="2"/>
      <c r="Q820" s="22"/>
      <c r="R820" s="22"/>
      <c r="U820" s="71"/>
      <c r="V820" s="71"/>
      <c r="W820" s="22"/>
    </row>
    <row r="821" spans="5:23" x14ac:dyDescent="0.25">
      <c r="E821" s="2"/>
      <c r="F821" s="2"/>
      <c r="G821" s="2"/>
      <c r="H821" s="22"/>
      <c r="L821" s="2"/>
      <c r="M821" s="2"/>
      <c r="N821" s="2"/>
      <c r="O821" s="2"/>
      <c r="P821" s="2"/>
      <c r="Q821" s="22"/>
      <c r="R821" s="22"/>
      <c r="U821" s="71"/>
      <c r="V821" s="71"/>
      <c r="W821" s="22"/>
    </row>
    <row r="822" spans="5:23" x14ac:dyDescent="0.25">
      <c r="E822" s="2"/>
      <c r="F822" s="2"/>
      <c r="G822" s="2"/>
      <c r="H822" s="22"/>
      <c r="L822" s="2"/>
      <c r="M822" s="2"/>
      <c r="N822" s="2"/>
      <c r="O822" s="2"/>
      <c r="P822" s="2"/>
      <c r="Q822" s="22"/>
      <c r="R822" s="22"/>
      <c r="U822" s="71"/>
      <c r="V822" s="71"/>
      <c r="W822" s="22"/>
    </row>
    <row r="823" spans="5:23" x14ac:dyDescent="0.25">
      <c r="E823" s="2"/>
      <c r="F823" s="2"/>
      <c r="G823" s="2"/>
      <c r="H823" s="22"/>
      <c r="L823" s="2"/>
      <c r="M823" s="2"/>
      <c r="N823" s="2"/>
      <c r="O823" s="2"/>
      <c r="P823" s="2"/>
      <c r="Q823" s="22"/>
      <c r="R823" s="22"/>
      <c r="U823" s="71"/>
      <c r="V823" s="71"/>
      <c r="W823" s="22"/>
    </row>
    <row r="824" spans="5:23" x14ac:dyDescent="0.25">
      <c r="E824" s="2"/>
      <c r="F824" s="2"/>
      <c r="G824" s="2"/>
      <c r="H824" s="22"/>
      <c r="L824" s="2"/>
      <c r="M824" s="2"/>
      <c r="N824" s="2"/>
      <c r="O824" s="2"/>
      <c r="P824" s="2"/>
      <c r="Q824" s="22"/>
      <c r="R824" s="22"/>
      <c r="U824" s="71"/>
      <c r="V824" s="71"/>
      <c r="W824" s="22"/>
    </row>
    <row r="825" spans="5:23" x14ac:dyDescent="0.25">
      <c r="E825" s="2"/>
      <c r="F825" s="2"/>
      <c r="G825" s="2"/>
      <c r="H825" s="22"/>
      <c r="L825" s="2"/>
      <c r="M825" s="2"/>
      <c r="N825" s="2"/>
      <c r="O825" s="2"/>
      <c r="P825" s="2"/>
      <c r="Q825" s="22"/>
      <c r="R825" s="22"/>
      <c r="U825" s="71"/>
      <c r="V825" s="71"/>
      <c r="W825" s="22"/>
    </row>
    <row r="826" spans="5:23" x14ac:dyDescent="0.25">
      <c r="E826" s="2"/>
      <c r="F826" s="2"/>
      <c r="G826" s="2"/>
      <c r="H826" s="22"/>
      <c r="L826" s="2"/>
      <c r="M826" s="2"/>
      <c r="N826" s="2"/>
      <c r="O826" s="2"/>
      <c r="P826" s="2"/>
      <c r="Q826" s="22"/>
      <c r="R826" s="22"/>
      <c r="U826" s="71"/>
      <c r="V826" s="71"/>
      <c r="W826" s="22"/>
    </row>
    <row r="827" spans="5:23" x14ac:dyDescent="0.25">
      <c r="E827" s="2"/>
      <c r="F827" s="2"/>
      <c r="G827" s="2"/>
      <c r="H827" s="22"/>
      <c r="L827" s="2"/>
      <c r="M827" s="2"/>
      <c r="N827" s="2"/>
      <c r="O827" s="2"/>
      <c r="P827" s="2"/>
      <c r="Q827" s="22"/>
      <c r="R827" s="22"/>
      <c r="U827" s="71"/>
      <c r="V827" s="71"/>
      <c r="W827" s="22"/>
    </row>
    <row r="828" spans="5:23" x14ac:dyDescent="0.25">
      <c r="E828" s="2"/>
      <c r="F828" s="2"/>
      <c r="G828" s="2"/>
      <c r="H828" s="22"/>
      <c r="L828" s="2"/>
      <c r="M828" s="2"/>
      <c r="N828" s="2"/>
      <c r="O828" s="2"/>
      <c r="P828" s="2"/>
      <c r="Q828" s="22"/>
      <c r="R828" s="22"/>
      <c r="U828" s="71"/>
      <c r="V828" s="71"/>
      <c r="W828" s="22"/>
    </row>
    <row r="829" spans="5:23" x14ac:dyDescent="0.25">
      <c r="E829" s="2"/>
      <c r="F829" s="2"/>
      <c r="G829" s="2"/>
      <c r="H829" s="22"/>
      <c r="L829" s="2"/>
      <c r="M829" s="2"/>
      <c r="N829" s="2"/>
      <c r="O829" s="2"/>
      <c r="P829" s="2"/>
      <c r="Q829" s="22"/>
      <c r="R829" s="22"/>
      <c r="U829" s="71"/>
      <c r="V829" s="71"/>
      <c r="W829" s="22"/>
    </row>
    <row r="830" spans="5:23" x14ac:dyDescent="0.25">
      <c r="E830" s="2"/>
      <c r="F830" s="2"/>
      <c r="G830" s="2"/>
      <c r="H830" s="22"/>
      <c r="L830" s="2"/>
      <c r="M830" s="2"/>
      <c r="N830" s="2"/>
      <c r="O830" s="2"/>
      <c r="P830" s="2"/>
      <c r="Q830" s="22"/>
      <c r="R830" s="22"/>
      <c r="U830" s="71"/>
      <c r="V830" s="71"/>
      <c r="W830" s="22"/>
    </row>
    <row r="831" spans="5:23" x14ac:dyDescent="0.25">
      <c r="E831" s="2"/>
      <c r="F831" s="2"/>
      <c r="G831" s="2"/>
      <c r="H831" s="22"/>
      <c r="L831" s="2"/>
      <c r="M831" s="2"/>
      <c r="N831" s="2"/>
      <c r="O831" s="2"/>
      <c r="P831" s="2"/>
      <c r="Q831" s="22"/>
      <c r="R831" s="22"/>
      <c r="U831" s="71"/>
      <c r="V831" s="71"/>
      <c r="W831" s="22"/>
    </row>
    <row r="832" spans="5:23" x14ac:dyDescent="0.25">
      <c r="E832" s="2"/>
      <c r="F832" s="2"/>
      <c r="G832" s="2"/>
      <c r="H832" s="22"/>
      <c r="L832" s="2"/>
      <c r="M832" s="2"/>
      <c r="N832" s="2"/>
      <c r="O832" s="2"/>
      <c r="P832" s="2"/>
      <c r="Q832" s="22"/>
      <c r="R832" s="22"/>
      <c r="U832" s="71"/>
      <c r="V832" s="71"/>
      <c r="W832" s="22"/>
    </row>
    <row r="833" spans="5:23" x14ac:dyDescent="0.25">
      <c r="E833" s="2"/>
      <c r="F833" s="2"/>
      <c r="G833" s="2"/>
      <c r="H833" s="22"/>
      <c r="L833" s="2"/>
      <c r="M833" s="2"/>
      <c r="N833" s="2"/>
      <c r="O833" s="2"/>
      <c r="P833" s="2"/>
      <c r="Q833" s="22"/>
      <c r="R833" s="22"/>
      <c r="U833" s="71"/>
      <c r="V833" s="71"/>
      <c r="W833" s="22"/>
    </row>
    <row r="834" spans="5:23" x14ac:dyDescent="0.25">
      <c r="E834" s="2"/>
      <c r="F834" s="2"/>
      <c r="G834" s="2"/>
      <c r="H834" s="22"/>
      <c r="L834" s="2"/>
      <c r="M834" s="2"/>
      <c r="N834" s="2"/>
      <c r="O834" s="2"/>
      <c r="P834" s="2"/>
      <c r="Q834" s="22"/>
      <c r="R834" s="22"/>
      <c r="U834" s="71"/>
      <c r="V834" s="71"/>
      <c r="W834" s="22"/>
    </row>
    <row r="835" spans="5:23" x14ac:dyDescent="0.25">
      <c r="E835" s="2"/>
      <c r="F835" s="2"/>
      <c r="G835" s="2"/>
      <c r="H835" s="22"/>
      <c r="L835" s="2"/>
      <c r="M835" s="2"/>
      <c r="N835" s="2"/>
      <c r="O835" s="2"/>
      <c r="P835" s="2"/>
      <c r="Q835" s="22"/>
      <c r="R835" s="22"/>
      <c r="U835" s="71"/>
      <c r="V835" s="71"/>
      <c r="W835" s="22"/>
    </row>
    <row r="836" spans="5:23" x14ac:dyDescent="0.25">
      <c r="E836" s="2"/>
      <c r="F836" s="2"/>
      <c r="G836" s="2"/>
      <c r="H836" s="22"/>
      <c r="L836" s="2"/>
      <c r="M836" s="2"/>
      <c r="N836" s="2"/>
      <c r="O836" s="2"/>
      <c r="P836" s="2"/>
      <c r="Q836" s="22"/>
      <c r="R836" s="22"/>
      <c r="U836" s="71"/>
      <c r="V836" s="71"/>
      <c r="W836" s="22"/>
    </row>
    <row r="837" spans="5:23" x14ac:dyDescent="0.25">
      <c r="E837" s="2"/>
      <c r="F837" s="2"/>
      <c r="G837" s="2"/>
      <c r="H837" s="22"/>
      <c r="L837" s="2"/>
      <c r="M837" s="2"/>
      <c r="N837" s="2"/>
      <c r="O837" s="2"/>
      <c r="P837" s="2"/>
      <c r="Q837" s="22"/>
      <c r="R837" s="22"/>
      <c r="U837" s="71"/>
      <c r="V837" s="71"/>
      <c r="W837" s="22"/>
    </row>
    <row r="838" spans="5:23" x14ac:dyDescent="0.25">
      <c r="E838" s="2"/>
      <c r="F838" s="2"/>
      <c r="G838" s="2"/>
      <c r="H838" s="22"/>
      <c r="L838" s="2"/>
      <c r="M838" s="2"/>
      <c r="N838" s="2"/>
      <c r="O838" s="2"/>
      <c r="P838" s="2"/>
      <c r="Q838" s="22"/>
      <c r="R838" s="22"/>
      <c r="U838" s="71"/>
      <c r="V838" s="71"/>
      <c r="W838" s="22"/>
    </row>
    <row r="839" spans="5:23" x14ac:dyDescent="0.25">
      <c r="E839" s="2"/>
      <c r="F839" s="2"/>
      <c r="G839" s="2"/>
      <c r="H839" s="22"/>
      <c r="L839" s="2"/>
      <c r="M839" s="2"/>
      <c r="N839" s="2"/>
      <c r="O839" s="2"/>
      <c r="P839" s="2"/>
      <c r="Q839" s="22"/>
      <c r="R839" s="22"/>
      <c r="U839" s="71"/>
      <c r="V839" s="71"/>
      <c r="W839" s="22"/>
    </row>
    <row r="840" spans="5:23" x14ac:dyDescent="0.25">
      <c r="E840" s="2"/>
      <c r="F840" s="2"/>
      <c r="G840" s="2"/>
      <c r="H840" s="22"/>
      <c r="L840" s="2"/>
      <c r="M840" s="2"/>
      <c r="N840" s="2"/>
      <c r="O840" s="2"/>
      <c r="P840" s="2"/>
      <c r="Q840" s="22"/>
      <c r="R840" s="22"/>
      <c r="U840" s="71"/>
      <c r="V840" s="71"/>
      <c r="W840" s="22"/>
    </row>
    <row r="841" spans="5:23" x14ac:dyDescent="0.25">
      <c r="E841" s="2"/>
      <c r="F841" s="2"/>
      <c r="G841" s="2"/>
      <c r="H841" s="22"/>
      <c r="L841" s="2"/>
      <c r="M841" s="2"/>
      <c r="N841" s="2"/>
      <c r="O841" s="2"/>
      <c r="P841" s="2"/>
      <c r="Q841" s="22"/>
      <c r="R841" s="22"/>
      <c r="U841" s="71"/>
      <c r="V841" s="71"/>
      <c r="W841" s="22"/>
    </row>
    <row r="842" spans="5:23" x14ac:dyDescent="0.25">
      <c r="E842" s="2"/>
      <c r="F842" s="2"/>
      <c r="G842" s="2"/>
      <c r="H842" s="22"/>
      <c r="L842" s="2"/>
      <c r="M842" s="2"/>
      <c r="N842" s="2"/>
      <c r="O842" s="2"/>
      <c r="P842" s="2"/>
      <c r="Q842" s="22"/>
      <c r="R842" s="22"/>
      <c r="U842" s="71"/>
      <c r="V842" s="71"/>
      <c r="W842" s="22"/>
    </row>
    <row r="843" spans="5:23" x14ac:dyDescent="0.25">
      <c r="E843" s="2"/>
      <c r="F843" s="2"/>
      <c r="G843" s="2"/>
      <c r="H843" s="22"/>
      <c r="L843" s="2"/>
      <c r="M843" s="2"/>
      <c r="N843" s="2"/>
      <c r="O843" s="2"/>
      <c r="P843" s="2"/>
      <c r="Q843" s="22"/>
      <c r="R843" s="22"/>
      <c r="U843" s="71"/>
      <c r="V843" s="71"/>
      <c r="W843" s="22"/>
    </row>
    <row r="844" spans="5:23" x14ac:dyDescent="0.25">
      <c r="E844" s="2"/>
      <c r="F844" s="2"/>
      <c r="G844" s="2"/>
      <c r="H844" s="22"/>
      <c r="L844" s="2"/>
      <c r="M844" s="2"/>
      <c r="N844" s="2"/>
      <c r="O844" s="2"/>
      <c r="P844" s="2"/>
      <c r="Q844" s="22"/>
      <c r="R844" s="22"/>
      <c r="U844" s="71"/>
      <c r="V844" s="71"/>
      <c r="W844" s="22"/>
    </row>
    <row r="845" spans="5:23" x14ac:dyDescent="0.25">
      <c r="E845" s="2"/>
      <c r="F845" s="2"/>
      <c r="G845" s="2"/>
      <c r="H845" s="22"/>
      <c r="L845" s="2"/>
      <c r="M845" s="2"/>
      <c r="N845" s="2"/>
      <c r="O845" s="2"/>
      <c r="P845" s="2"/>
      <c r="Q845" s="22"/>
      <c r="R845" s="22"/>
      <c r="U845" s="71"/>
      <c r="V845" s="71"/>
      <c r="W845" s="22"/>
    </row>
    <row r="846" spans="5:23" x14ac:dyDescent="0.25">
      <c r="E846" s="2"/>
      <c r="F846" s="2"/>
      <c r="G846" s="2"/>
      <c r="H846" s="22"/>
      <c r="L846" s="2"/>
      <c r="M846" s="2"/>
      <c r="N846" s="2"/>
      <c r="O846" s="2"/>
      <c r="P846" s="2"/>
      <c r="Q846" s="22"/>
      <c r="R846" s="22"/>
      <c r="U846" s="71"/>
      <c r="V846" s="71"/>
      <c r="W846" s="22"/>
    </row>
    <row r="847" spans="5:23" x14ac:dyDescent="0.25">
      <c r="E847" s="2"/>
      <c r="F847" s="2"/>
      <c r="G847" s="2"/>
      <c r="H847" s="22"/>
      <c r="L847" s="2"/>
      <c r="M847" s="2"/>
      <c r="N847" s="2"/>
      <c r="O847" s="2"/>
      <c r="P847" s="2"/>
      <c r="Q847" s="22"/>
      <c r="R847" s="22"/>
      <c r="U847" s="71"/>
      <c r="V847" s="71"/>
      <c r="W847" s="22"/>
    </row>
    <row r="848" spans="5:23" x14ac:dyDescent="0.25">
      <c r="E848" s="2"/>
      <c r="F848" s="2"/>
      <c r="G848" s="2"/>
      <c r="H848" s="22"/>
      <c r="L848" s="2"/>
      <c r="M848" s="2"/>
      <c r="N848" s="2"/>
      <c r="O848" s="2"/>
      <c r="P848" s="2"/>
      <c r="Q848" s="22"/>
      <c r="R848" s="22"/>
      <c r="U848" s="71"/>
      <c r="V848" s="71"/>
      <c r="W848" s="22"/>
    </row>
    <row r="849" spans="5:23" x14ac:dyDescent="0.25">
      <c r="E849" s="2"/>
      <c r="F849" s="2"/>
      <c r="G849" s="2"/>
      <c r="H849" s="22"/>
      <c r="L849" s="2"/>
      <c r="M849" s="2"/>
      <c r="N849" s="2"/>
      <c r="O849" s="2"/>
      <c r="P849" s="2"/>
      <c r="Q849" s="22"/>
      <c r="R849" s="22"/>
      <c r="U849" s="71"/>
      <c r="V849" s="71"/>
      <c r="W849" s="22"/>
    </row>
    <row r="850" spans="5:23" x14ac:dyDescent="0.25">
      <c r="E850" s="2"/>
      <c r="F850" s="2"/>
      <c r="G850" s="2"/>
      <c r="H850" s="22"/>
      <c r="L850" s="2"/>
      <c r="M850" s="2"/>
      <c r="N850" s="2"/>
      <c r="O850" s="2"/>
      <c r="P850" s="2"/>
      <c r="Q850" s="22"/>
      <c r="R850" s="22"/>
      <c r="U850" s="71"/>
      <c r="V850" s="71"/>
      <c r="W850" s="22"/>
    </row>
    <row r="851" spans="5:23" x14ac:dyDescent="0.25">
      <c r="E851" s="2"/>
      <c r="F851" s="2"/>
      <c r="G851" s="2"/>
      <c r="H851" s="22"/>
      <c r="L851" s="2"/>
      <c r="M851" s="2"/>
      <c r="N851" s="2"/>
      <c r="O851" s="2"/>
      <c r="P851" s="2"/>
      <c r="Q851" s="22"/>
      <c r="R851" s="22"/>
      <c r="U851" s="71"/>
      <c r="V851" s="71"/>
      <c r="W851" s="22"/>
    </row>
    <row r="852" spans="5:23" x14ac:dyDescent="0.25">
      <c r="E852" s="2"/>
      <c r="F852" s="2"/>
      <c r="G852" s="2"/>
      <c r="H852" s="22"/>
      <c r="L852" s="2"/>
      <c r="M852" s="2"/>
      <c r="N852" s="2"/>
      <c r="O852" s="2"/>
      <c r="P852" s="2"/>
      <c r="Q852" s="22"/>
      <c r="R852" s="22"/>
      <c r="U852" s="71"/>
      <c r="V852" s="71"/>
      <c r="W852" s="22"/>
    </row>
    <row r="853" spans="5:23" x14ac:dyDescent="0.25">
      <c r="E853" s="2"/>
      <c r="F853" s="2"/>
      <c r="G853" s="2"/>
      <c r="H853" s="22"/>
      <c r="L853" s="2"/>
      <c r="M853" s="2"/>
      <c r="N853" s="2"/>
      <c r="O853" s="2"/>
      <c r="P853" s="2"/>
      <c r="Q853" s="22"/>
      <c r="R853" s="22"/>
      <c r="U853" s="71"/>
      <c r="V853" s="71"/>
      <c r="W853" s="22"/>
    </row>
    <row r="854" spans="5:23" x14ac:dyDescent="0.25">
      <c r="E854" s="2"/>
      <c r="F854" s="2"/>
      <c r="G854" s="2"/>
      <c r="H854" s="22"/>
      <c r="L854" s="2"/>
      <c r="M854" s="2"/>
      <c r="N854" s="2"/>
      <c r="O854" s="2"/>
      <c r="P854" s="2"/>
      <c r="Q854" s="22"/>
      <c r="R854" s="22"/>
      <c r="U854" s="71"/>
      <c r="V854" s="71"/>
      <c r="W854" s="22"/>
    </row>
    <row r="855" spans="5:23" x14ac:dyDescent="0.25">
      <c r="E855" s="2"/>
      <c r="F855" s="2"/>
      <c r="G855" s="2"/>
      <c r="H855" s="22"/>
      <c r="L855" s="2"/>
      <c r="M855" s="2"/>
      <c r="N855" s="2"/>
      <c r="O855" s="2"/>
      <c r="P855" s="2"/>
      <c r="Q855" s="22"/>
      <c r="R855" s="22"/>
      <c r="U855" s="71"/>
      <c r="V855" s="71"/>
      <c r="W855" s="22"/>
    </row>
    <row r="856" spans="5:23" x14ac:dyDescent="0.25">
      <c r="E856" s="2"/>
      <c r="F856" s="2"/>
      <c r="G856" s="2"/>
      <c r="H856" s="22"/>
      <c r="L856" s="2"/>
      <c r="M856" s="2"/>
      <c r="N856" s="2"/>
      <c r="O856" s="2"/>
      <c r="P856" s="2"/>
      <c r="Q856" s="22"/>
      <c r="R856" s="22"/>
      <c r="U856" s="71"/>
      <c r="V856" s="71"/>
      <c r="W856" s="22"/>
    </row>
    <row r="857" spans="5:23" x14ac:dyDescent="0.25">
      <c r="E857" s="2"/>
      <c r="F857" s="2"/>
      <c r="G857" s="2"/>
      <c r="H857" s="22"/>
      <c r="L857" s="2"/>
      <c r="M857" s="2"/>
      <c r="N857" s="2"/>
      <c r="O857" s="2"/>
      <c r="P857" s="2"/>
      <c r="Q857" s="22"/>
      <c r="R857" s="22"/>
      <c r="U857" s="71"/>
      <c r="V857" s="71"/>
      <c r="W857" s="22"/>
    </row>
    <row r="858" spans="5:23" x14ac:dyDescent="0.25">
      <c r="E858" s="2"/>
      <c r="F858" s="2"/>
      <c r="G858" s="2"/>
      <c r="H858" s="22"/>
      <c r="L858" s="2"/>
      <c r="M858" s="2"/>
      <c r="N858" s="2"/>
      <c r="O858" s="2"/>
      <c r="P858" s="2"/>
      <c r="Q858" s="22"/>
      <c r="R858" s="22"/>
      <c r="U858" s="71"/>
      <c r="V858" s="71"/>
      <c r="W858" s="22"/>
    </row>
    <row r="859" spans="5:23" x14ac:dyDescent="0.25">
      <c r="E859" s="2"/>
      <c r="F859" s="2"/>
      <c r="G859" s="2"/>
      <c r="H859" s="22"/>
      <c r="L859" s="2"/>
      <c r="M859" s="2"/>
      <c r="N859" s="2"/>
      <c r="O859" s="2"/>
      <c r="P859" s="2"/>
      <c r="Q859" s="22"/>
      <c r="R859" s="22"/>
      <c r="U859" s="71"/>
      <c r="V859" s="71"/>
      <c r="W859" s="22"/>
    </row>
    <row r="860" spans="5:23" x14ac:dyDescent="0.25">
      <c r="E860" s="2"/>
      <c r="F860" s="2"/>
      <c r="G860" s="2"/>
      <c r="H860" s="22"/>
      <c r="L860" s="2"/>
      <c r="M860" s="2"/>
      <c r="N860" s="2"/>
      <c r="O860" s="2"/>
      <c r="P860" s="2"/>
      <c r="Q860" s="22"/>
      <c r="R860" s="22"/>
      <c r="U860" s="71"/>
      <c r="V860" s="71"/>
      <c r="W860" s="22"/>
    </row>
    <row r="861" spans="5:23" x14ac:dyDescent="0.25">
      <c r="E861" s="2"/>
      <c r="F861" s="2"/>
      <c r="G861" s="2"/>
      <c r="H861" s="22"/>
      <c r="L861" s="2"/>
      <c r="M861" s="2"/>
      <c r="N861" s="2"/>
      <c r="O861" s="2"/>
      <c r="P861" s="2"/>
      <c r="Q861" s="22"/>
      <c r="R861" s="22"/>
      <c r="U861" s="71"/>
      <c r="V861" s="71"/>
      <c r="W861" s="22"/>
    </row>
    <row r="862" spans="5:23" x14ac:dyDescent="0.25">
      <c r="E862" s="2"/>
      <c r="F862" s="2"/>
      <c r="G862" s="2"/>
      <c r="H862" s="22"/>
      <c r="L862" s="2"/>
      <c r="M862" s="2"/>
      <c r="N862" s="2"/>
      <c r="O862" s="2"/>
      <c r="P862" s="2"/>
      <c r="Q862" s="22"/>
      <c r="R862" s="22"/>
      <c r="U862" s="71"/>
      <c r="V862" s="71"/>
      <c r="W862" s="22"/>
    </row>
    <row r="863" spans="5:23" x14ac:dyDescent="0.25">
      <c r="E863" s="2"/>
      <c r="F863" s="2"/>
      <c r="G863" s="2"/>
      <c r="H863" s="22"/>
      <c r="L863" s="2"/>
      <c r="M863" s="2"/>
      <c r="N863" s="2"/>
      <c r="O863" s="2"/>
      <c r="P863" s="2"/>
      <c r="Q863" s="22"/>
      <c r="R863" s="22"/>
      <c r="U863" s="71"/>
      <c r="V863" s="71"/>
      <c r="W863" s="22"/>
    </row>
    <row r="864" spans="5:23" x14ac:dyDescent="0.25">
      <c r="E864" s="2"/>
      <c r="F864" s="2"/>
      <c r="G864" s="2"/>
      <c r="H864" s="22"/>
      <c r="L864" s="2"/>
      <c r="M864" s="2"/>
      <c r="N864" s="2"/>
      <c r="O864" s="2"/>
      <c r="P864" s="2"/>
      <c r="Q864" s="22"/>
      <c r="R864" s="22"/>
      <c r="U864" s="71"/>
      <c r="V864" s="71"/>
      <c r="W864" s="22"/>
    </row>
    <row r="865" spans="5:23" x14ac:dyDescent="0.25">
      <c r="E865" s="2"/>
      <c r="F865" s="2"/>
      <c r="G865" s="2"/>
      <c r="H865" s="22"/>
      <c r="L865" s="2"/>
      <c r="M865" s="2"/>
      <c r="N865" s="2"/>
      <c r="O865" s="2"/>
      <c r="P865" s="2"/>
      <c r="Q865" s="22"/>
      <c r="R865" s="22"/>
      <c r="U865" s="71"/>
      <c r="V865" s="71"/>
      <c r="W865" s="22"/>
    </row>
    <row r="866" spans="5:23" x14ac:dyDescent="0.25">
      <c r="E866" s="2"/>
      <c r="F866" s="2"/>
      <c r="G866" s="2"/>
      <c r="H866" s="22"/>
      <c r="L866" s="2"/>
      <c r="M866" s="2"/>
      <c r="N866" s="2"/>
      <c r="O866" s="2"/>
      <c r="P866" s="2"/>
      <c r="Q866" s="22"/>
      <c r="R866" s="22"/>
      <c r="U866" s="71"/>
      <c r="V866" s="71"/>
      <c r="W866" s="22"/>
    </row>
    <row r="867" spans="5:23" x14ac:dyDescent="0.25">
      <c r="E867" s="2"/>
      <c r="F867" s="2"/>
      <c r="G867" s="2"/>
      <c r="H867" s="22"/>
      <c r="L867" s="2"/>
      <c r="M867" s="2"/>
      <c r="N867" s="2"/>
      <c r="O867" s="2"/>
      <c r="P867" s="2"/>
      <c r="Q867" s="22"/>
      <c r="R867" s="22"/>
      <c r="U867" s="71"/>
      <c r="V867" s="71"/>
      <c r="W867" s="22"/>
    </row>
    <row r="868" spans="5:23" x14ac:dyDescent="0.25">
      <c r="E868" s="2"/>
      <c r="F868" s="2"/>
      <c r="G868" s="2"/>
      <c r="H868" s="22"/>
      <c r="L868" s="2"/>
      <c r="M868" s="2"/>
      <c r="N868" s="2"/>
      <c r="O868" s="2"/>
      <c r="P868" s="2"/>
      <c r="Q868" s="22"/>
      <c r="R868" s="22"/>
      <c r="U868" s="71"/>
      <c r="V868" s="71"/>
      <c r="W868" s="22"/>
    </row>
    <row r="869" spans="5:23" x14ac:dyDescent="0.25">
      <c r="E869" s="2"/>
      <c r="F869" s="2"/>
      <c r="G869" s="2"/>
      <c r="H869" s="22"/>
      <c r="L869" s="2"/>
      <c r="M869" s="2"/>
      <c r="N869" s="2"/>
      <c r="O869" s="2"/>
      <c r="P869" s="2"/>
      <c r="Q869" s="22"/>
      <c r="R869" s="22"/>
      <c r="U869" s="71"/>
      <c r="V869" s="71"/>
      <c r="W869" s="22"/>
    </row>
    <row r="870" spans="5:23" x14ac:dyDescent="0.25">
      <c r="E870" s="2"/>
      <c r="F870" s="2"/>
      <c r="G870" s="2"/>
      <c r="H870" s="22"/>
      <c r="L870" s="2"/>
      <c r="M870" s="2"/>
      <c r="N870" s="2"/>
      <c r="O870" s="2"/>
      <c r="P870" s="2"/>
      <c r="Q870" s="22"/>
      <c r="R870" s="22"/>
      <c r="U870" s="71"/>
      <c r="V870" s="71"/>
      <c r="W870" s="22"/>
    </row>
    <row r="871" spans="5:23" x14ac:dyDescent="0.25">
      <c r="E871" s="2"/>
      <c r="F871" s="2"/>
      <c r="G871" s="2"/>
      <c r="H871" s="22"/>
      <c r="L871" s="2"/>
      <c r="M871" s="2"/>
      <c r="N871" s="2"/>
      <c r="O871" s="2"/>
      <c r="P871" s="2"/>
      <c r="Q871" s="22"/>
      <c r="R871" s="22"/>
      <c r="U871" s="71"/>
      <c r="V871" s="71"/>
      <c r="W871" s="22"/>
    </row>
    <row r="872" spans="5:23" x14ac:dyDescent="0.25">
      <c r="E872" s="2"/>
      <c r="F872" s="2"/>
      <c r="G872" s="2"/>
      <c r="H872" s="22"/>
      <c r="L872" s="2"/>
      <c r="M872" s="2"/>
      <c r="N872" s="2"/>
      <c r="O872" s="2"/>
      <c r="P872" s="2"/>
      <c r="Q872" s="22"/>
      <c r="R872" s="22"/>
      <c r="U872" s="71"/>
      <c r="V872" s="71"/>
      <c r="W872" s="22"/>
    </row>
    <row r="873" spans="5:23" x14ac:dyDescent="0.25">
      <c r="E873" s="2"/>
      <c r="F873" s="2"/>
      <c r="G873" s="2"/>
      <c r="H873" s="22"/>
      <c r="L873" s="2"/>
      <c r="M873" s="2"/>
      <c r="N873" s="2"/>
      <c r="O873" s="2"/>
      <c r="P873" s="2"/>
      <c r="Q873" s="22"/>
      <c r="R873" s="22"/>
      <c r="U873" s="71"/>
      <c r="V873" s="71"/>
      <c r="W873" s="22"/>
    </row>
    <row r="874" spans="5:23" x14ac:dyDescent="0.25">
      <c r="E874" s="2"/>
      <c r="F874" s="2"/>
      <c r="G874" s="2"/>
      <c r="H874" s="22"/>
      <c r="L874" s="2"/>
      <c r="M874" s="2"/>
      <c r="N874" s="2"/>
      <c r="O874" s="2"/>
      <c r="P874" s="2"/>
      <c r="Q874" s="22"/>
      <c r="R874" s="22"/>
      <c r="U874" s="71"/>
      <c r="V874" s="71"/>
      <c r="W874" s="22"/>
    </row>
    <row r="875" spans="5:23" x14ac:dyDescent="0.25">
      <c r="E875" s="2"/>
      <c r="F875" s="2"/>
      <c r="G875" s="2"/>
      <c r="H875" s="22"/>
      <c r="L875" s="2"/>
      <c r="M875" s="2"/>
      <c r="N875" s="2"/>
      <c r="O875" s="2"/>
      <c r="P875" s="2"/>
      <c r="Q875" s="22"/>
      <c r="R875" s="22"/>
      <c r="U875" s="71"/>
      <c r="V875" s="71"/>
      <c r="W875" s="22"/>
    </row>
    <row r="876" spans="5:23" x14ac:dyDescent="0.25">
      <c r="E876" s="2"/>
      <c r="F876" s="2"/>
      <c r="G876" s="2"/>
      <c r="H876" s="22"/>
      <c r="L876" s="2"/>
      <c r="M876" s="2"/>
      <c r="N876" s="2"/>
      <c r="O876" s="2"/>
      <c r="P876" s="2"/>
      <c r="Q876" s="22"/>
      <c r="R876" s="22"/>
      <c r="U876" s="71"/>
      <c r="V876" s="71"/>
      <c r="W876" s="22"/>
    </row>
    <row r="877" spans="5:23" x14ac:dyDescent="0.25">
      <c r="E877" s="2"/>
      <c r="F877" s="2"/>
      <c r="G877" s="2"/>
      <c r="H877" s="22"/>
      <c r="L877" s="2"/>
      <c r="M877" s="2"/>
      <c r="N877" s="2"/>
      <c r="O877" s="2"/>
      <c r="P877" s="2"/>
      <c r="Q877" s="22"/>
      <c r="R877" s="22"/>
      <c r="U877" s="71"/>
      <c r="V877" s="71"/>
      <c r="W877" s="22"/>
    </row>
    <row r="878" spans="5:23" x14ac:dyDescent="0.25">
      <c r="E878" s="2"/>
      <c r="F878" s="2"/>
      <c r="G878" s="2"/>
      <c r="H878" s="22"/>
      <c r="L878" s="2"/>
      <c r="M878" s="2"/>
      <c r="N878" s="2"/>
      <c r="O878" s="2"/>
      <c r="P878" s="2"/>
      <c r="Q878" s="22"/>
      <c r="R878" s="22"/>
      <c r="U878" s="71"/>
      <c r="V878" s="71"/>
      <c r="W878" s="22"/>
    </row>
    <row r="879" spans="5:23" x14ac:dyDescent="0.25">
      <c r="E879" s="2"/>
      <c r="F879" s="2"/>
      <c r="G879" s="2"/>
      <c r="H879" s="22"/>
      <c r="L879" s="2"/>
      <c r="M879" s="2"/>
      <c r="N879" s="2"/>
      <c r="O879" s="2"/>
      <c r="P879" s="2"/>
      <c r="Q879" s="22"/>
      <c r="R879" s="22"/>
      <c r="U879" s="71"/>
      <c r="V879" s="71"/>
      <c r="W879" s="22"/>
    </row>
    <row r="880" spans="5:23" x14ac:dyDescent="0.25">
      <c r="E880" s="2"/>
      <c r="F880" s="2"/>
      <c r="G880" s="2"/>
      <c r="H880" s="22"/>
      <c r="L880" s="2"/>
      <c r="M880" s="2"/>
      <c r="N880" s="2"/>
      <c r="O880" s="2"/>
      <c r="P880" s="2"/>
      <c r="Q880" s="22"/>
      <c r="R880" s="22"/>
      <c r="U880" s="71"/>
      <c r="V880" s="71"/>
      <c r="W880" s="22"/>
    </row>
    <row r="881" spans="5:23" x14ac:dyDescent="0.25">
      <c r="E881" s="2"/>
      <c r="F881" s="2"/>
      <c r="G881" s="2"/>
      <c r="H881" s="22"/>
      <c r="L881" s="2"/>
      <c r="M881" s="2"/>
      <c r="N881" s="2"/>
      <c r="O881" s="2"/>
      <c r="P881" s="2"/>
      <c r="Q881" s="22"/>
      <c r="R881" s="22"/>
      <c r="U881" s="71"/>
      <c r="V881" s="71"/>
      <c r="W881" s="22"/>
    </row>
    <row r="882" spans="5:23" x14ac:dyDescent="0.25">
      <c r="E882" s="2"/>
      <c r="F882" s="2"/>
      <c r="G882" s="2"/>
      <c r="H882" s="22"/>
      <c r="L882" s="2"/>
      <c r="M882" s="2"/>
      <c r="N882" s="2"/>
      <c r="O882" s="2"/>
      <c r="P882" s="2"/>
      <c r="Q882" s="22"/>
      <c r="R882" s="22"/>
      <c r="U882" s="71"/>
      <c r="V882" s="71"/>
      <c r="W882" s="22"/>
    </row>
    <row r="883" spans="5:23" x14ac:dyDescent="0.25">
      <c r="E883" s="2"/>
      <c r="F883" s="2"/>
      <c r="G883" s="2"/>
      <c r="H883" s="22"/>
      <c r="L883" s="2"/>
      <c r="M883" s="2"/>
      <c r="N883" s="2"/>
      <c r="O883" s="2"/>
      <c r="P883" s="2"/>
      <c r="Q883" s="22"/>
      <c r="R883" s="22"/>
      <c r="U883" s="71"/>
      <c r="V883" s="71"/>
      <c r="W883" s="22"/>
    </row>
    <row r="884" spans="5:23" x14ac:dyDescent="0.25">
      <c r="E884" s="2"/>
      <c r="F884" s="2"/>
      <c r="G884" s="2"/>
      <c r="H884" s="22"/>
      <c r="L884" s="2"/>
      <c r="M884" s="2"/>
      <c r="N884" s="2"/>
      <c r="O884" s="2"/>
      <c r="P884" s="2"/>
      <c r="Q884" s="22"/>
      <c r="R884" s="22"/>
      <c r="U884" s="71"/>
      <c r="V884" s="71"/>
      <c r="W884" s="22"/>
    </row>
    <row r="885" spans="5:23" x14ac:dyDescent="0.25">
      <c r="E885" s="2"/>
      <c r="F885" s="2"/>
      <c r="G885" s="2"/>
      <c r="H885" s="22"/>
      <c r="L885" s="2"/>
      <c r="M885" s="2"/>
      <c r="N885" s="2"/>
      <c r="O885" s="2"/>
      <c r="P885" s="2"/>
      <c r="Q885" s="22"/>
      <c r="R885" s="22"/>
      <c r="U885" s="71"/>
      <c r="V885" s="71"/>
      <c r="W885" s="22"/>
    </row>
    <row r="886" spans="5:23" x14ac:dyDescent="0.25">
      <c r="E886" s="2"/>
      <c r="F886" s="2"/>
      <c r="G886" s="2"/>
      <c r="H886" s="22"/>
      <c r="L886" s="2"/>
      <c r="M886" s="2"/>
      <c r="N886" s="2"/>
      <c r="O886" s="2"/>
      <c r="P886" s="2"/>
      <c r="Q886" s="22"/>
      <c r="R886" s="22"/>
      <c r="U886" s="71"/>
      <c r="V886" s="71"/>
      <c r="W886" s="22"/>
    </row>
    <row r="887" spans="5:23" x14ac:dyDescent="0.25">
      <c r="E887" s="2"/>
      <c r="F887" s="2"/>
      <c r="G887" s="2"/>
      <c r="H887" s="22"/>
      <c r="L887" s="2"/>
      <c r="M887" s="2"/>
      <c r="N887" s="2"/>
      <c r="O887" s="2"/>
      <c r="P887" s="2"/>
      <c r="Q887" s="22"/>
      <c r="R887" s="22"/>
      <c r="U887" s="71"/>
      <c r="V887" s="71"/>
      <c r="W887" s="22"/>
    </row>
    <row r="888" spans="5:23" x14ac:dyDescent="0.25">
      <c r="E888" s="2"/>
      <c r="F888" s="2"/>
      <c r="G888" s="2"/>
      <c r="H888" s="22"/>
      <c r="L888" s="2"/>
      <c r="M888" s="2"/>
      <c r="N888" s="2"/>
      <c r="O888" s="2"/>
      <c r="P888" s="2"/>
      <c r="Q888" s="22"/>
      <c r="R888" s="22"/>
      <c r="U888" s="71"/>
      <c r="V888" s="71"/>
      <c r="W888" s="22"/>
    </row>
    <row r="889" spans="5:23" x14ac:dyDescent="0.25">
      <c r="E889" s="2"/>
      <c r="F889" s="2"/>
      <c r="G889" s="2"/>
      <c r="H889" s="22"/>
      <c r="L889" s="2"/>
      <c r="M889" s="2"/>
      <c r="N889" s="2"/>
      <c r="O889" s="2"/>
      <c r="P889" s="2"/>
      <c r="Q889" s="22"/>
      <c r="R889" s="22"/>
      <c r="U889" s="71"/>
      <c r="V889" s="71"/>
      <c r="W889" s="22"/>
    </row>
    <row r="890" spans="5:23" x14ac:dyDescent="0.25">
      <c r="E890" s="2"/>
      <c r="F890" s="2"/>
      <c r="G890" s="2"/>
      <c r="H890" s="22"/>
      <c r="L890" s="2"/>
      <c r="M890" s="2"/>
      <c r="N890" s="2"/>
      <c r="O890" s="2"/>
      <c r="P890" s="2"/>
      <c r="Q890" s="22"/>
      <c r="R890" s="22"/>
      <c r="U890" s="71"/>
      <c r="V890" s="71"/>
      <c r="W890" s="22"/>
    </row>
    <row r="891" spans="5:23" x14ac:dyDescent="0.25">
      <c r="E891" s="2"/>
      <c r="F891" s="2"/>
      <c r="G891" s="2"/>
      <c r="H891" s="22"/>
      <c r="L891" s="2"/>
      <c r="M891" s="2"/>
      <c r="N891" s="2"/>
      <c r="O891" s="2"/>
      <c r="P891" s="2"/>
      <c r="Q891" s="22"/>
      <c r="R891" s="22"/>
      <c r="U891" s="71"/>
      <c r="V891" s="71"/>
      <c r="W891" s="22"/>
    </row>
    <row r="892" spans="5:23" x14ac:dyDescent="0.25">
      <c r="E892" s="2"/>
      <c r="F892" s="2"/>
      <c r="G892" s="2"/>
      <c r="H892" s="22"/>
      <c r="L892" s="2"/>
      <c r="M892" s="2"/>
      <c r="N892" s="2"/>
      <c r="O892" s="2"/>
      <c r="P892" s="2"/>
      <c r="Q892" s="22"/>
      <c r="R892" s="22"/>
      <c r="U892" s="71"/>
      <c r="V892" s="71"/>
      <c r="W892" s="22"/>
    </row>
    <row r="893" spans="5:23" x14ac:dyDescent="0.25">
      <c r="E893" s="2"/>
      <c r="F893" s="2"/>
      <c r="G893" s="2"/>
      <c r="H893" s="22"/>
      <c r="L893" s="2"/>
      <c r="M893" s="2"/>
      <c r="N893" s="2"/>
      <c r="O893" s="2"/>
      <c r="P893" s="2"/>
      <c r="Q893" s="22"/>
      <c r="R893" s="22"/>
      <c r="U893" s="71"/>
      <c r="V893" s="71"/>
      <c r="W893" s="22"/>
    </row>
    <row r="894" spans="5:23" x14ac:dyDescent="0.25">
      <c r="E894" s="2"/>
      <c r="F894" s="2"/>
      <c r="G894" s="2"/>
      <c r="H894" s="22"/>
      <c r="L894" s="2"/>
      <c r="M894" s="2"/>
      <c r="N894" s="2"/>
      <c r="O894" s="2"/>
      <c r="P894" s="2"/>
      <c r="Q894" s="22"/>
      <c r="R894" s="22"/>
      <c r="U894" s="71"/>
      <c r="V894" s="71"/>
      <c r="W894" s="22"/>
    </row>
    <row r="895" spans="5:23" x14ac:dyDescent="0.25">
      <c r="E895" s="2"/>
      <c r="F895" s="2"/>
      <c r="G895" s="2"/>
      <c r="H895" s="22"/>
      <c r="L895" s="2"/>
      <c r="M895" s="2"/>
      <c r="N895" s="2"/>
      <c r="O895" s="2"/>
      <c r="P895" s="2"/>
      <c r="Q895" s="22"/>
      <c r="R895" s="22"/>
      <c r="U895" s="71"/>
      <c r="V895" s="71"/>
      <c r="W895" s="22"/>
    </row>
    <row r="896" spans="5:23" x14ac:dyDescent="0.25">
      <c r="E896" s="2"/>
      <c r="F896" s="2"/>
      <c r="G896" s="2"/>
      <c r="H896" s="22"/>
      <c r="L896" s="2"/>
      <c r="M896" s="2"/>
      <c r="N896" s="2"/>
      <c r="O896" s="2"/>
      <c r="P896" s="2"/>
      <c r="Q896" s="22"/>
      <c r="R896" s="22"/>
      <c r="U896" s="71"/>
      <c r="V896" s="71"/>
      <c r="W896" s="22"/>
    </row>
    <row r="897" spans="5:23" x14ac:dyDescent="0.25">
      <c r="E897" s="2"/>
      <c r="F897" s="2"/>
      <c r="G897" s="2"/>
      <c r="H897" s="22"/>
      <c r="L897" s="2"/>
      <c r="M897" s="2"/>
      <c r="N897" s="2"/>
      <c r="O897" s="2"/>
      <c r="P897" s="2"/>
      <c r="Q897" s="22"/>
      <c r="R897" s="22"/>
      <c r="U897" s="71"/>
      <c r="V897" s="71"/>
      <c r="W897" s="22"/>
    </row>
    <row r="898" spans="5:23" x14ac:dyDescent="0.25">
      <c r="E898" s="2"/>
      <c r="F898" s="2"/>
      <c r="G898" s="2"/>
      <c r="H898" s="22"/>
      <c r="L898" s="2"/>
      <c r="M898" s="2"/>
      <c r="N898" s="2"/>
      <c r="O898" s="2"/>
      <c r="P898" s="2"/>
      <c r="Q898" s="22"/>
      <c r="R898" s="22"/>
      <c r="U898" s="71"/>
      <c r="V898" s="71"/>
      <c r="W898" s="22"/>
    </row>
    <row r="899" spans="5:23" x14ac:dyDescent="0.25">
      <c r="E899" s="2"/>
      <c r="F899" s="2"/>
      <c r="G899" s="2"/>
      <c r="H899" s="22"/>
      <c r="L899" s="2"/>
      <c r="M899" s="2"/>
      <c r="N899" s="2"/>
      <c r="O899" s="2"/>
      <c r="P899" s="2"/>
      <c r="Q899" s="22"/>
      <c r="R899" s="22"/>
      <c r="U899" s="71"/>
      <c r="V899" s="71"/>
      <c r="W899" s="22"/>
    </row>
    <row r="900" spans="5:23" x14ac:dyDescent="0.25">
      <c r="E900" s="2"/>
      <c r="F900" s="2"/>
      <c r="G900" s="2"/>
      <c r="H900" s="22"/>
      <c r="L900" s="2"/>
      <c r="M900" s="2"/>
      <c r="N900" s="2"/>
      <c r="O900" s="2"/>
      <c r="P900" s="2"/>
      <c r="Q900" s="22"/>
      <c r="R900" s="22"/>
      <c r="U900" s="71"/>
      <c r="V900" s="71"/>
      <c r="W900" s="22"/>
    </row>
    <row r="901" spans="5:23" x14ac:dyDescent="0.25">
      <c r="E901" s="2"/>
      <c r="F901" s="2"/>
      <c r="G901" s="2"/>
      <c r="H901" s="22"/>
      <c r="L901" s="2"/>
      <c r="M901" s="2"/>
      <c r="N901" s="2"/>
      <c r="O901" s="2"/>
      <c r="P901" s="2"/>
      <c r="Q901" s="22"/>
      <c r="R901" s="22"/>
      <c r="U901" s="71"/>
      <c r="V901" s="71"/>
      <c r="W901" s="22"/>
    </row>
    <row r="902" spans="5:23" x14ac:dyDescent="0.25">
      <c r="E902" s="2"/>
      <c r="F902" s="2"/>
      <c r="G902" s="2"/>
      <c r="H902" s="22"/>
      <c r="L902" s="2"/>
      <c r="M902" s="2"/>
      <c r="N902" s="2"/>
      <c r="O902" s="2"/>
      <c r="P902" s="2"/>
      <c r="Q902" s="22"/>
      <c r="R902" s="22"/>
      <c r="U902" s="71"/>
      <c r="V902" s="71"/>
      <c r="W902" s="22"/>
    </row>
    <row r="903" spans="5:23" x14ac:dyDescent="0.25">
      <c r="E903" s="2"/>
      <c r="F903" s="2"/>
      <c r="G903" s="2"/>
      <c r="H903" s="22"/>
      <c r="L903" s="2"/>
      <c r="M903" s="2"/>
      <c r="N903" s="2"/>
      <c r="O903" s="2"/>
      <c r="P903" s="2"/>
      <c r="Q903" s="22"/>
      <c r="R903" s="22"/>
      <c r="U903" s="71"/>
      <c r="V903" s="71"/>
      <c r="W903" s="22"/>
    </row>
    <row r="904" spans="5:23" x14ac:dyDescent="0.25">
      <c r="E904" s="2"/>
      <c r="F904" s="2"/>
      <c r="G904" s="2"/>
      <c r="H904" s="22"/>
      <c r="L904" s="2"/>
      <c r="M904" s="2"/>
      <c r="N904" s="2"/>
      <c r="O904" s="2"/>
      <c r="P904" s="2"/>
      <c r="Q904" s="22"/>
      <c r="R904" s="22"/>
      <c r="U904" s="71"/>
      <c r="V904" s="71"/>
      <c r="W904" s="22"/>
    </row>
    <row r="905" spans="5:23" x14ac:dyDescent="0.25">
      <c r="E905" s="2"/>
      <c r="F905" s="2"/>
      <c r="G905" s="2"/>
      <c r="H905" s="22"/>
      <c r="L905" s="2"/>
      <c r="M905" s="2"/>
      <c r="N905" s="2"/>
      <c r="O905" s="2"/>
      <c r="P905" s="2"/>
      <c r="Q905" s="22"/>
      <c r="R905" s="22"/>
      <c r="U905" s="71"/>
      <c r="V905" s="71"/>
      <c r="W905" s="22"/>
    </row>
    <row r="906" spans="5:23" x14ac:dyDescent="0.25">
      <c r="E906" s="2"/>
      <c r="F906" s="2"/>
      <c r="G906" s="2"/>
      <c r="H906" s="22"/>
      <c r="L906" s="2"/>
      <c r="M906" s="2"/>
      <c r="N906" s="2"/>
      <c r="O906" s="2"/>
      <c r="P906" s="2"/>
      <c r="Q906" s="22"/>
      <c r="R906" s="22"/>
      <c r="U906" s="71"/>
      <c r="V906" s="71"/>
      <c r="W906" s="22"/>
    </row>
    <row r="907" spans="5:23" x14ac:dyDescent="0.25">
      <c r="E907" s="2"/>
      <c r="F907" s="2"/>
      <c r="G907" s="2"/>
      <c r="H907" s="22"/>
      <c r="L907" s="2"/>
      <c r="M907" s="2"/>
      <c r="N907" s="2"/>
      <c r="O907" s="2"/>
      <c r="P907" s="2"/>
      <c r="Q907" s="22"/>
      <c r="R907" s="22"/>
      <c r="U907" s="71"/>
      <c r="V907" s="71"/>
      <c r="W907" s="22"/>
    </row>
    <row r="908" spans="5:23" x14ac:dyDescent="0.25">
      <c r="E908" s="2"/>
      <c r="F908" s="2"/>
      <c r="G908" s="2"/>
      <c r="H908" s="22"/>
      <c r="L908" s="2"/>
      <c r="M908" s="2"/>
      <c r="N908" s="2"/>
      <c r="O908" s="2"/>
      <c r="P908" s="2"/>
      <c r="Q908" s="22"/>
      <c r="R908" s="22"/>
      <c r="U908" s="71"/>
      <c r="V908" s="71"/>
      <c r="W908" s="22"/>
    </row>
    <row r="909" spans="5:23" x14ac:dyDescent="0.25">
      <c r="E909" s="2"/>
      <c r="F909" s="2"/>
      <c r="G909" s="2"/>
      <c r="H909" s="22"/>
      <c r="L909" s="2"/>
      <c r="M909" s="2"/>
      <c r="N909" s="2"/>
      <c r="O909" s="2"/>
      <c r="P909" s="2"/>
      <c r="Q909" s="22"/>
      <c r="R909" s="22"/>
      <c r="U909" s="71"/>
      <c r="V909" s="71"/>
      <c r="W909" s="22"/>
    </row>
    <row r="910" spans="5:23" x14ac:dyDescent="0.25">
      <c r="E910" s="2"/>
      <c r="F910" s="2"/>
      <c r="G910" s="2"/>
      <c r="H910" s="22"/>
      <c r="L910" s="2"/>
      <c r="M910" s="2"/>
      <c r="N910" s="2"/>
      <c r="O910" s="2"/>
      <c r="P910" s="2"/>
      <c r="Q910" s="22"/>
      <c r="R910" s="22"/>
      <c r="U910" s="71"/>
      <c r="V910" s="71"/>
      <c r="W910" s="22"/>
    </row>
    <row r="911" spans="5:23" x14ac:dyDescent="0.25">
      <c r="E911" s="2"/>
      <c r="F911" s="2"/>
      <c r="G911" s="2"/>
      <c r="H911" s="22"/>
      <c r="L911" s="2"/>
      <c r="M911" s="2"/>
      <c r="N911" s="2"/>
      <c r="O911" s="2"/>
      <c r="P911" s="2"/>
      <c r="Q911" s="22"/>
      <c r="R911" s="22"/>
      <c r="U911" s="71"/>
      <c r="V911" s="71"/>
      <c r="W911" s="22"/>
    </row>
    <row r="912" spans="5:23" x14ac:dyDescent="0.25">
      <c r="E912" s="2"/>
      <c r="F912" s="2"/>
      <c r="G912" s="2"/>
      <c r="H912" s="22"/>
      <c r="L912" s="2"/>
      <c r="M912" s="2"/>
      <c r="N912" s="2"/>
      <c r="O912" s="2"/>
      <c r="P912" s="2"/>
      <c r="Q912" s="22"/>
      <c r="R912" s="22"/>
      <c r="U912" s="71"/>
      <c r="V912" s="71"/>
      <c r="W912" s="22"/>
    </row>
    <row r="913" spans="5:23" x14ac:dyDescent="0.25">
      <c r="E913" s="2"/>
      <c r="F913" s="2"/>
      <c r="G913" s="2"/>
      <c r="H913" s="22"/>
      <c r="L913" s="2"/>
      <c r="M913" s="2"/>
      <c r="N913" s="2"/>
      <c r="O913" s="2"/>
      <c r="P913" s="2"/>
      <c r="Q913" s="22"/>
      <c r="R913" s="22"/>
      <c r="U913" s="71"/>
      <c r="V913" s="71"/>
      <c r="W913" s="22"/>
    </row>
    <row r="914" spans="5:23" x14ac:dyDescent="0.25">
      <c r="E914" s="2"/>
      <c r="F914" s="2"/>
      <c r="G914" s="2"/>
      <c r="H914" s="22"/>
      <c r="L914" s="2"/>
      <c r="M914" s="2"/>
      <c r="N914" s="2"/>
      <c r="O914" s="2"/>
      <c r="P914" s="2"/>
      <c r="Q914" s="22"/>
      <c r="R914" s="22"/>
      <c r="U914" s="71"/>
      <c r="V914" s="71"/>
      <c r="W914" s="22"/>
    </row>
    <row r="915" spans="5:23" x14ac:dyDescent="0.25">
      <c r="E915" s="2"/>
      <c r="F915" s="2"/>
      <c r="G915" s="2"/>
      <c r="H915" s="22"/>
      <c r="L915" s="2"/>
      <c r="M915" s="2"/>
      <c r="N915" s="2"/>
      <c r="O915" s="2"/>
      <c r="P915" s="2"/>
      <c r="Q915" s="22"/>
      <c r="R915" s="22"/>
      <c r="U915" s="71"/>
      <c r="V915" s="71"/>
      <c r="W915" s="22"/>
    </row>
    <row r="916" spans="5:23" x14ac:dyDescent="0.25">
      <c r="E916" s="2"/>
      <c r="F916" s="2"/>
      <c r="G916" s="2"/>
      <c r="H916" s="22"/>
      <c r="L916" s="2"/>
      <c r="M916" s="2"/>
      <c r="N916" s="2"/>
      <c r="O916" s="2"/>
      <c r="P916" s="2"/>
      <c r="Q916" s="22"/>
      <c r="R916" s="22"/>
      <c r="U916" s="71"/>
      <c r="V916" s="71"/>
      <c r="W916" s="22"/>
    </row>
    <row r="917" spans="5:23" x14ac:dyDescent="0.25">
      <c r="E917" s="2"/>
      <c r="F917" s="2"/>
      <c r="G917" s="2"/>
      <c r="H917" s="22"/>
      <c r="L917" s="2"/>
      <c r="M917" s="2"/>
      <c r="N917" s="2"/>
      <c r="O917" s="2"/>
      <c r="P917" s="2"/>
      <c r="Q917" s="22"/>
      <c r="R917" s="22"/>
      <c r="U917" s="71"/>
      <c r="V917" s="71"/>
      <c r="W917" s="22"/>
    </row>
    <row r="918" spans="5:23" x14ac:dyDescent="0.25">
      <c r="E918" s="2"/>
      <c r="F918" s="2"/>
      <c r="G918" s="2"/>
      <c r="H918" s="22"/>
      <c r="L918" s="2"/>
      <c r="M918" s="2"/>
      <c r="N918" s="2"/>
      <c r="O918" s="2"/>
      <c r="P918" s="2"/>
      <c r="Q918" s="22"/>
      <c r="R918" s="22"/>
      <c r="U918" s="71"/>
      <c r="V918" s="71"/>
      <c r="W918" s="22"/>
    </row>
    <row r="919" spans="5:23" x14ac:dyDescent="0.25">
      <c r="E919" s="2"/>
      <c r="F919" s="2"/>
      <c r="G919" s="2"/>
      <c r="H919" s="22"/>
      <c r="L919" s="2"/>
      <c r="M919" s="2"/>
      <c r="N919" s="2"/>
      <c r="O919" s="2"/>
      <c r="P919" s="2"/>
      <c r="Q919" s="22"/>
      <c r="R919" s="22"/>
      <c r="U919" s="71"/>
      <c r="V919" s="71"/>
      <c r="W919" s="22"/>
    </row>
    <row r="920" spans="5:23" x14ac:dyDescent="0.25">
      <c r="E920" s="2"/>
      <c r="F920" s="2"/>
      <c r="G920" s="2"/>
      <c r="H920" s="22"/>
      <c r="L920" s="2"/>
      <c r="M920" s="2"/>
      <c r="N920" s="2"/>
      <c r="O920" s="2"/>
      <c r="P920" s="2"/>
      <c r="Q920" s="22"/>
      <c r="R920" s="22"/>
      <c r="U920" s="71"/>
      <c r="V920" s="71"/>
      <c r="W920" s="22"/>
    </row>
    <row r="921" spans="5:23" x14ac:dyDescent="0.25">
      <c r="E921" s="2"/>
      <c r="F921" s="2"/>
      <c r="G921" s="2"/>
      <c r="H921" s="22"/>
      <c r="L921" s="2"/>
      <c r="M921" s="2"/>
      <c r="N921" s="2"/>
      <c r="O921" s="2"/>
      <c r="P921" s="2"/>
      <c r="Q921" s="22"/>
      <c r="R921" s="22"/>
      <c r="U921" s="71"/>
      <c r="V921" s="71"/>
      <c r="W921" s="22"/>
    </row>
    <row r="922" spans="5:23" x14ac:dyDescent="0.25">
      <c r="E922" s="2"/>
      <c r="F922" s="2"/>
      <c r="G922" s="2"/>
      <c r="H922" s="22"/>
      <c r="L922" s="2"/>
      <c r="M922" s="2"/>
      <c r="N922" s="2"/>
      <c r="O922" s="2"/>
      <c r="P922" s="2"/>
      <c r="Q922" s="22"/>
      <c r="R922" s="22"/>
      <c r="U922" s="71"/>
      <c r="V922" s="71"/>
      <c r="W922" s="22"/>
    </row>
    <row r="923" spans="5:23" x14ac:dyDescent="0.25">
      <c r="E923" s="2"/>
      <c r="F923" s="2"/>
      <c r="G923" s="2"/>
      <c r="H923" s="22"/>
      <c r="L923" s="2"/>
      <c r="M923" s="2"/>
      <c r="N923" s="2"/>
      <c r="O923" s="2"/>
      <c r="P923" s="2"/>
      <c r="Q923" s="22"/>
      <c r="R923" s="22"/>
      <c r="U923" s="71"/>
      <c r="V923" s="71"/>
      <c r="W923" s="22"/>
    </row>
    <row r="924" spans="5:23" x14ac:dyDescent="0.25">
      <c r="E924" s="2"/>
      <c r="F924" s="2"/>
      <c r="G924" s="2"/>
      <c r="H924" s="22"/>
      <c r="L924" s="2"/>
      <c r="M924" s="2"/>
      <c r="N924" s="2"/>
      <c r="O924" s="2"/>
      <c r="P924" s="2"/>
      <c r="Q924" s="22"/>
      <c r="R924" s="22"/>
      <c r="U924" s="71"/>
      <c r="V924" s="71"/>
      <c r="W924" s="22"/>
    </row>
    <row r="925" spans="5:23" x14ac:dyDescent="0.25">
      <c r="E925" s="2"/>
      <c r="F925" s="2"/>
      <c r="G925" s="2"/>
      <c r="H925" s="22"/>
      <c r="L925" s="2"/>
      <c r="M925" s="2"/>
      <c r="N925" s="2"/>
      <c r="O925" s="2"/>
      <c r="P925" s="2"/>
      <c r="Q925" s="22"/>
      <c r="R925" s="22"/>
      <c r="U925" s="71"/>
      <c r="V925" s="71"/>
      <c r="W925" s="22"/>
    </row>
    <row r="926" spans="5:23" x14ac:dyDescent="0.25">
      <c r="E926" s="2"/>
      <c r="F926" s="2"/>
      <c r="G926" s="2"/>
      <c r="H926" s="22"/>
      <c r="L926" s="2"/>
      <c r="M926" s="2"/>
      <c r="N926" s="2"/>
      <c r="O926" s="2"/>
      <c r="P926" s="2"/>
      <c r="Q926" s="22"/>
      <c r="R926" s="22"/>
      <c r="U926" s="71"/>
      <c r="V926" s="71"/>
      <c r="W926" s="22"/>
    </row>
    <row r="927" spans="5:23" x14ac:dyDescent="0.25">
      <c r="E927" s="2"/>
      <c r="F927" s="2"/>
      <c r="G927" s="2"/>
      <c r="H927" s="22"/>
      <c r="L927" s="2"/>
      <c r="M927" s="2"/>
      <c r="N927" s="2"/>
      <c r="O927" s="2"/>
      <c r="P927" s="2"/>
      <c r="Q927" s="22"/>
      <c r="R927" s="22"/>
      <c r="U927" s="71"/>
      <c r="V927" s="71"/>
      <c r="W927" s="22"/>
    </row>
    <row r="928" spans="5:23" x14ac:dyDescent="0.25">
      <c r="E928" s="2"/>
      <c r="F928" s="2"/>
      <c r="G928" s="2"/>
      <c r="H928" s="22"/>
      <c r="L928" s="2"/>
      <c r="M928" s="2"/>
      <c r="N928" s="2"/>
      <c r="O928" s="2"/>
      <c r="P928" s="2"/>
      <c r="Q928" s="22"/>
      <c r="R928" s="22"/>
      <c r="U928" s="71"/>
      <c r="V928" s="71"/>
      <c r="W928" s="22"/>
    </row>
    <row r="929" spans="5:23" x14ac:dyDescent="0.25">
      <c r="E929" s="2"/>
      <c r="F929" s="2"/>
      <c r="G929" s="2"/>
      <c r="H929" s="22"/>
      <c r="L929" s="2"/>
      <c r="M929" s="2"/>
      <c r="N929" s="2"/>
      <c r="O929" s="2"/>
      <c r="P929" s="2"/>
      <c r="Q929" s="22"/>
      <c r="R929" s="22"/>
      <c r="U929" s="71"/>
      <c r="V929" s="71"/>
      <c r="W929" s="22"/>
    </row>
    <row r="930" spans="5:23" x14ac:dyDescent="0.25">
      <c r="E930" s="2"/>
      <c r="F930" s="2"/>
      <c r="G930" s="2"/>
      <c r="H930" s="22"/>
      <c r="L930" s="2"/>
      <c r="M930" s="2"/>
      <c r="N930" s="2"/>
      <c r="O930" s="2"/>
      <c r="P930" s="2"/>
      <c r="Q930" s="22"/>
      <c r="R930" s="22"/>
      <c r="U930" s="71"/>
      <c r="V930" s="71"/>
      <c r="W930" s="22"/>
    </row>
    <row r="931" spans="5:23" x14ac:dyDescent="0.25">
      <c r="E931" s="2"/>
      <c r="F931" s="2"/>
      <c r="G931" s="2"/>
      <c r="H931" s="22"/>
      <c r="L931" s="2"/>
      <c r="M931" s="2"/>
      <c r="N931" s="2"/>
      <c r="O931" s="2"/>
      <c r="P931" s="2"/>
      <c r="Q931" s="22"/>
      <c r="R931" s="22"/>
      <c r="U931" s="71"/>
      <c r="V931" s="71"/>
      <c r="W931" s="22"/>
    </row>
    <row r="932" spans="5:23" x14ac:dyDescent="0.25">
      <c r="E932" s="2"/>
      <c r="F932" s="2"/>
      <c r="G932" s="2"/>
      <c r="H932" s="22"/>
      <c r="L932" s="2"/>
      <c r="M932" s="2"/>
      <c r="N932" s="2"/>
      <c r="O932" s="2"/>
      <c r="P932" s="2"/>
      <c r="Q932" s="22"/>
      <c r="R932" s="22"/>
      <c r="U932" s="71"/>
      <c r="V932" s="71"/>
      <c r="W932" s="22"/>
    </row>
    <row r="933" spans="5:23" x14ac:dyDescent="0.25">
      <c r="E933" s="2"/>
      <c r="F933" s="2"/>
      <c r="G933" s="2"/>
      <c r="H933" s="22"/>
      <c r="L933" s="2"/>
      <c r="M933" s="2"/>
      <c r="N933" s="2"/>
      <c r="O933" s="2"/>
      <c r="P933" s="2"/>
      <c r="Q933" s="22"/>
      <c r="R933" s="22"/>
      <c r="U933" s="71"/>
      <c r="V933" s="71"/>
      <c r="W933" s="22"/>
    </row>
    <row r="934" spans="5:23" x14ac:dyDescent="0.25">
      <c r="E934" s="2"/>
      <c r="F934" s="2"/>
      <c r="G934" s="2"/>
      <c r="H934" s="22"/>
      <c r="L934" s="2"/>
      <c r="M934" s="2"/>
      <c r="N934" s="2"/>
      <c r="O934" s="2"/>
      <c r="P934" s="2"/>
      <c r="Q934" s="22"/>
      <c r="R934" s="22"/>
      <c r="U934" s="71"/>
      <c r="V934" s="71"/>
      <c r="W934" s="22"/>
    </row>
    <row r="935" spans="5:23" x14ac:dyDescent="0.25">
      <c r="E935" s="2"/>
      <c r="F935" s="2"/>
      <c r="G935" s="2"/>
      <c r="H935" s="22"/>
      <c r="L935" s="2"/>
      <c r="M935" s="2"/>
      <c r="N935" s="2"/>
      <c r="O935" s="2"/>
      <c r="P935" s="2"/>
      <c r="Q935" s="22"/>
      <c r="R935" s="22"/>
      <c r="U935" s="71"/>
      <c r="V935" s="71"/>
      <c r="W935" s="22"/>
    </row>
    <row r="936" spans="5:23" x14ac:dyDescent="0.25">
      <c r="E936" s="2"/>
      <c r="F936" s="2"/>
      <c r="G936" s="2"/>
      <c r="H936" s="22"/>
      <c r="L936" s="2"/>
      <c r="M936" s="2"/>
      <c r="N936" s="2"/>
      <c r="O936" s="2"/>
      <c r="P936" s="2"/>
      <c r="Q936" s="22"/>
      <c r="R936" s="22"/>
      <c r="U936" s="71"/>
      <c r="V936" s="71"/>
      <c r="W936" s="22"/>
    </row>
    <row r="937" spans="5:23" x14ac:dyDescent="0.25">
      <c r="E937" s="2"/>
      <c r="F937" s="2"/>
      <c r="G937" s="2"/>
      <c r="H937" s="22"/>
      <c r="L937" s="2"/>
      <c r="M937" s="2"/>
      <c r="N937" s="2"/>
      <c r="O937" s="2"/>
      <c r="P937" s="2"/>
      <c r="Q937" s="22"/>
      <c r="R937" s="22"/>
      <c r="U937" s="71"/>
      <c r="V937" s="71"/>
      <c r="W937" s="22"/>
    </row>
    <row r="938" spans="5:23" x14ac:dyDescent="0.25">
      <c r="E938" s="2"/>
      <c r="F938" s="2"/>
      <c r="G938" s="2"/>
      <c r="H938" s="22"/>
      <c r="L938" s="2"/>
      <c r="M938" s="2"/>
      <c r="N938" s="2"/>
      <c r="O938" s="2"/>
      <c r="P938" s="2"/>
      <c r="Q938" s="22"/>
      <c r="R938" s="22"/>
      <c r="U938" s="71"/>
      <c r="V938" s="71"/>
      <c r="W938" s="22"/>
    </row>
    <row r="939" spans="5:23" x14ac:dyDescent="0.25">
      <c r="E939" s="2"/>
      <c r="F939" s="2"/>
      <c r="G939" s="2"/>
      <c r="H939" s="22"/>
      <c r="L939" s="2"/>
      <c r="M939" s="2"/>
      <c r="N939" s="2"/>
      <c r="O939" s="2"/>
      <c r="P939" s="2"/>
      <c r="Q939" s="22"/>
      <c r="R939" s="22"/>
      <c r="U939" s="71"/>
      <c r="V939" s="71"/>
      <c r="W939" s="22"/>
    </row>
    <row r="940" spans="5:23" x14ac:dyDescent="0.25">
      <c r="E940" s="2"/>
      <c r="F940" s="2"/>
      <c r="G940" s="2"/>
      <c r="H940" s="22"/>
      <c r="L940" s="2"/>
      <c r="M940" s="2"/>
      <c r="N940" s="2"/>
      <c r="O940" s="2"/>
      <c r="P940" s="2"/>
      <c r="Q940" s="22"/>
      <c r="R940" s="22"/>
      <c r="U940" s="71"/>
      <c r="V940" s="71"/>
      <c r="W940" s="22"/>
    </row>
    <row r="941" spans="5:23" x14ac:dyDescent="0.25">
      <c r="E941" s="2"/>
      <c r="F941" s="2"/>
      <c r="G941" s="2"/>
      <c r="H941" s="22"/>
      <c r="L941" s="2"/>
      <c r="M941" s="2"/>
      <c r="N941" s="2"/>
      <c r="O941" s="2"/>
      <c r="P941" s="2"/>
      <c r="Q941" s="22"/>
      <c r="R941" s="22"/>
      <c r="U941" s="71"/>
      <c r="V941" s="71"/>
      <c r="W941" s="22"/>
    </row>
    <row r="942" spans="5:23" x14ac:dyDescent="0.25">
      <c r="E942" s="2"/>
      <c r="F942" s="2"/>
      <c r="G942" s="2"/>
      <c r="H942" s="22"/>
      <c r="L942" s="2"/>
      <c r="M942" s="2"/>
      <c r="N942" s="2"/>
      <c r="O942" s="2"/>
      <c r="P942" s="2"/>
      <c r="Q942" s="22"/>
      <c r="R942" s="22"/>
      <c r="U942" s="71"/>
      <c r="V942" s="71"/>
      <c r="W942" s="22"/>
    </row>
    <row r="943" spans="5:23" x14ac:dyDescent="0.25">
      <c r="E943" s="2"/>
      <c r="F943" s="2"/>
      <c r="G943" s="2"/>
      <c r="H943" s="22"/>
      <c r="L943" s="2"/>
      <c r="M943" s="2"/>
      <c r="N943" s="2"/>
      <c r="O943" s="2"/>
      <c r="P943" s="2"/>
      <c r="Q943" s="22"/>
      <c r="R943" s="22"/>
      <c r="U943" s="71"/>
      <c r="V943" s="71"/>
      <c r="W943" s="22"/>
    </row>
    <row r="944" spans="5:23" x14ac:dyDescent="0.25">
      <c r="E944" s="2"/>
      <c r="F944" s="2"/>
      <c r="G944" s="2"/>
      <c r="H944" s="22"/>
      <c r="L944" s="2"/>
      <c r="M944" s="2"/>
      <c r="N944" s="2"/>
      <c r="O944" s="2"/>
      <c r="P944" s="2"/>
      <c r="Q944" s="22"/>
      <c r="R944" s="22"/>
      <c r="U944" s="71"/>
      <c r="V944" s="71"/>
      <c r="W944" s="22"/>
    </row>
    <row r="945" spans="5:23" x14ac:dyDescent="0.25">
      <c r="E945" s="2"/>
      <c r="F945" s="2"/>
      <c r="G945" s="2"/>
      <c r="H945" s="22"/>
      <c r="L945" s="2"/>
      <c r="M945" s="2"/>
      <c r="N945" s="2"/>
      <c r="O945" s="2"/>
      <c r="P945" s="2"/>
      <c r="Q945" s="22"/>
      <c r="R945" s="22"/>
      <c r="U945" s="71"/>
      <c r="V945" s="71"/>
      <c r="W945" s="22"/>
    </row>
    <row r="946" spans="5:23" x14ac:dyDescent="0.25">
      <c r="E946" s="2"/>
      <c r="F946" s="2"/>
      <c r="G946" s="2"/>
      <c r="H946" s="22"/>
      <c r="L946" s="2"/>
      <c r="M946" s="2"/>
      <c r="N946" s="2"/>
      <c r="O946" s="2"/>
      <c r="P946" s="2"/>
      <c r="Q946" s="22"/>
      <c r="R946" s="22"/>
      <c r="U946" s="71"/>
      <c r="V946" s="71"/>
      <c r="W946" s="22"/>
    </row>
    <row r="947" spans="5:23" x14ac:dyDescent="0.25">
      <c r="E947" s="2"/>
      <c r="F947" s="2"/>
      <c r="G947" s="2"/>
      <c r="H947" s="22"/>
      <c r="L947" s="2"/>
      <c r="M947" s="2"/>
      <c r="N947" s="2"/>
      <c r="O947" s="2"/>
      <c r="P947" s="2"/>
      <c r="Q947" s="22"/>
      <c r="R947" s="22"/>
      <c r="U947" s="71"/>
      <c r="V947" s="71"/>
      <c r="W947" s="22"/>
    </row>
    <row r="948" spans="5:23" x14ac:dyDescent="0.25">
      <c r="E948" s="2"/>
      <c r="F948" s="2"/>
      <c r="G948" s="2"/>
      <c r="H948" s="22"/>
      <c r="L948" s="2"/>
      <c r="M948" s="2"/>
      <c r="N948" s="2"/>
      <c r="O948" s="2"/>
      <c r="P948" s="2"/>
      <c r="Q948" s="22"/>
      <c r="R948" s="22"/>
      <c r="U948" s="71"/>
      <c r="V948" s="71"/>
      <c r="W948" s="22"/>
    </row>
    <row r="949" spans="5:23" x14ac:dyDescent="0.25">
      <c r="E949" s="2"/>
      <c r="F949" s="2"/>
      <c r="G949" s="2"/>
      <c r="H949" s="22"/>
      <c r="L949" s="2"/>
      <c r="M949" s="2"/>
      <c r="N949" s="2"/>
      <c r="O949" s="2"/>
      <c r="P949" s="2"/>
      <c r="Q949" s="22"/>
      <c r="R949" s="22"/>
      <c r="U949" s="71"/>
      <c r="V949" s="71"/>
      <c r="W949" s="22"/>
    </row>
    <row r="950" spans="5:23" x14ac:dyDescent="0.25">
      <c r="E950" s="2"/>
      <c r="F950" s="2"/>
      <c r="G950" s="2"/>
      <c r="H950" s="22"/>
      <c r="L950" s="2"/>
      <c r="M950" s="2"/>
      <c r="N950" s="2"/>
      <c r="O950" s="2"/>
      <c r="P950" s="2"/>
      <c r="Q950" s="22"/>
      <c r="R950" s="22"/>
      <c r="U950" s="71"/>
      <c r="V950" s="71"/>
      <c r="W950" s="22"/>
    </row>
    <row r="951" spans="5:23" x14ac:dyDescent="0.25">
      <c r="E951" s="2"/>
      <c r="F951" s="2"/>
      <c r="G951" s="2"/>
      <c r="H951" s="22"/>
      <c r="L951" s="2"/>
      <c r="M951" s="2"/>
      <c r="N951" s="2"/>
      <c r="O951" s="2"/>
      <c r="P951" s="2"/>
      <c r="Q951" s="22"/>
      <c r="R951" s="22"/>
      <c r="U951" s="71"/>
      <c r="V951" s="71"/>
      <c r="W951" s="22"/>
    </row>
    <row r="952" spans="5:23" x14ac:dyDescent="0.25">
      <c r="E952" s="2"/>
      <c r="F952" s="2"/>
      <c r="G952" s="2"/>
      <c r="H952" s="22"/>
      <c r="L952" s="2"/>
      <c r="M952" s="2"/>
      <c r="N952" s="2"/>
      <c r="O952" s="2"/>
      <c r="P952" s="2"/>
      <c r="Q952" s="22"/>
      <c r="R952" s="22"/>
      <c r="U952" s="71"/>
      <c r="V952" s="71"/>
      <c r="W952" s="22"/>
    </row>
    <row r="953" spans="5:23" x14ac:dyDescent="0.25">
      <c r="E953" s="2"/>
      <c r="F953" s="2"/>
      <c r="G953" s="2"/>
      <c r="H953" s="22"/>
      <c r="L953" s="2"/>
      <c r="M953" s="2"/>
      <c r="N953" s="2"/>
      <c r="O953" s="2"/>
      <c r="P953" s="2"/>
      <c r="Q953" s="22"/>
      <c r="R953" s="22"/>
      <c r="U953" s="71"/>
      <c r="V953" s="71"/>
      <c r="W953" s="22"/>
    </row>
    <row r="954" spans="5:23" x14ac:dyDescent="0.25">
      <c r="E954" s="2"/>
      <c r="F954" s="2"/>
      <c r="G954" s="2"/>
      <c r="H954" s="22"/>
      <c r="L954" s="2"/>
      <c r="M954" s="2"/>
      <c r="N954" s="2"/>
      <c r="O954" s="2"/>
      <c r="P954" s="2"/>
      <c r="Q954" s="22"/>
      <c r="R954" s="22"/>
      <c r="U954" s="71"/>
      <c r="V954" s="71"/>
      <c r="W954" s="22"/>
    </row>
    <row r="955" spans="5:23" x14ac:dyDescent="0.25">
      <c r="E955" s="2"/>
      <c r="F955" s="2"/>
      <c r="G955" s="2"/>
      <c r="H955" s="22"/>
      <c r="L955" s="2"/>
      <c r="M955" s="2"/>
      <c r="N955" s="2"/>
      <c r="O955" s="2"/>
      <c r="P955" s="2"/>
      <c r="Q955" s="22"/>
      <c r="R955" s="22"/>
      <c r="U955" s="71"/>
      <c r="V955" s="71"/>
      <c r="W955" s="22"/>
    </row>
    <row r="956" spans="5:23" x14ac:dyDescent="0.25">
      <c r="E956" s="2"/>
      <c r="F956" s="2"/>
      <c r="G956" s="2"/>
      <c r="H956" s="22"/>
      <c r="L956" s="2"/>
      <c r="M956" s="2"/>
      <c r="N956" s="2"/>
      <c r="O956" s="2"/>
      <c r="P956" s="2"/>
      <c r="Q956" s="22"/>
      <c r="R956" s="22"/>
      <c r="U956" s="71"/>
      <c r="V956" s="71"/>
      <c r="W956" s="22"/>
    </row>
    <row r="957" spans="5:23" x14ac:dyDescent="0.25">
      <c r="E957" s="2"/>
      <c r="F957" s="2"/>
      <c r="G957" s="2"/>
      <c r="H957" s="22"/>
      <c r="L957" s="2"/>
      <c r="M957" s="2"/>
      <c r="N957" s="2"/>
      <c r="O957" s="2"/>
      <c r="P957" s="2"/>
      <c r="Q957" s="22"/>
      <c r="R957" s="22"/>
      <c r="U957" s="71"/>
      <c r="V957" s="71"/>
      <c r="W957" s="22"/>
    </row>
    <row r="958" spans="5:23" x14ac:dyDescent="0.25">
      <c r="E958" s="2"/>
      <c r="F958" s="2"/>
      <c r="G958" s="2"/>
      <c r="H958" s="22"/>
      <c r="L958" s="2"/>
      <c r="M958" s="2"/>
      <c r="N958" s="2"/>
      <c r="O958" s="2"/>
      <c r="P958" s="2"/>
      <c r="Q958" s="22"/>
      <c r="R958" s="22"/>
      <c r="U958" s="71"/>
      <c r="V958" s="71"/>
      <c r="W958" s="22"/>
    </row>
    <row r="959" spans="5:23" x14ac:dyDescent="0.25">
      <c r="E959" s="2"/>
      <c r="F959" s="2"/>
      <c r="G959" s="2"/>
      <c r="H959" s="22"/>
      <c r="L959" s="2"/>
      <c r="M959" s="2"/>
      <c r="N959" s="2"/>
      <c r="O959" s="2"/>
      <c r="P959" s="2"/>
      <c r="Q959" s="22"/>
      <c r="R959" s="22"/>
      <c r="U959" s="71"/>
      <c r="V959" s="71"/>
      <c r="W959" s="22"/>
    </row>
    <row r="960" spans="5:23" x14ac:dyDescent="0.25">
      <c r="E960" s="2"/>
      <c r="F960" s="2"/>
      <c r="G960" s="2"/>
      <c r="H960" s="22"/>
      <c r="L960" s="2"/>
      <c r="M960" s="2"/>
      <c r="N960" s="2"/>
      <c r="O960" s="2"/>
      <c r="P960" s="2"/>
      <c r="Q960" s="22"/>
      <c r="R960" s="22"/>
      <c r="U960" s="71"/>
      <c r="V960" s="71"/>
      <c r="W960" s="22"/>
    </row>
    <row r="961" spans="5:23" x14ac:dyDescent="0.25">
      <c r="E961" s="2"/>
      <c r="F961" s="2"/>
      <c r="G961" s="2"/>
      <c r="H961" s="22"/>
      <c r="L961" s="2"/>
      <c r="M961" s="2"/>
      <c r="N961" s="2"/>
      <c r="O961" s="2"/>
      <c r="P961" s="2"/>
      <c r="Q961" s="22"/>
      <c r="R961" s="22"/>
      <c r="U961" s="71"/>
      <c r="V961" s="71"/>
      <c r="W961" s="22"/>
    </row>
    <row r="962" spans="5:23" x14ac:dyDescent="0.25">
      <c r="E962" s="2"/>
      <c r="F962" s="2"/>
      <c r="G962" s="2"/>
      <c r="H962" s="22"/>
      <c r="L962" s="2"/>
      <c r="M962" s="2"/>
      <c r="N962" s="2"/>
      <c r="O962" s="2"/>
      <c r="P962" s="2"/>
      <c r="Q962" s="22"/>
      <c r="R962" s="22"/>
      <c r="U962" s="71"/>
      <c r="V962" s="71"/>
      <c r="W962" s="22"/>
    </row>
    <row r="963" spans="5:23" x14ac:dyDescent="0.25">
      <c r="E963" s="2"/>
      <c r="F963" s="2"/>
      <c r="G963" s="2"/>
      <c r="H963" s="22"/>
      <c r="L963" s="2"/>
      <c r="M963" s="2"/>
      <c r="N963" s="2"/>
      <c r="O963" s="2"/>
      <c r="P963" s="2"/>
      <c r="Q963" s="22"/>
      <c r="R963" s="22"/>
      <c r="U963" s="71"/>
      <c r="V963" s="71"/>
      <c r="W963" s="22"/>
    </row>
    <row r="964" spans="5:23" x14ac:dyDescent="0.25">
      <c r="E964" s="2"/>
      <c r="F964" s="2"/>
      <c r="G964" s="2"/>
      <c r="H964" s="22"/>
      <c r="L964" s="2"/>
      <c r="M964" s="2"/>
      <c r="N964" s="2"/>
      <c r="O964" s="2"/>
      <c r="P964" s="2"/>
      <c r="Q964" s="22"/>
      <c r="R964" s="22"/>
      <c r="U964" s="71"/>
      <c r="V964" s="71"/>
      <c r="W964" s="22"/>
    </row>
    <row r="965" spans="5:23" x14ac:dyDescent="0.25">
      <c r="E965" s="2"/>
      <c r="F965" s="2"/>
      <c r="G965" s="2"/>
      <c r="H965" s="22"/>
      <c r="L965" s="2"/>
      <c r="M965" s="2"/>
      <c r="N965" s="2"/>
      <c r="O965" s="2"/>
      <c r="P965" s="2"/>
      <c r="Q965" s="22"/>
      <c r="R965" s="22"/>
      <c r="U965" s="71"/>
      <c r="V965" s="71"/>
      <c r="W965" s="22"/>
    </row>
    <row r="966" spans="5:23" x14ac:dyDescent="0.25">
      <c r="E966" s="2"/>
      <c r="F966" s="2"/>
      <c r="G966" s="2"/>
      <c r="H966" s="22"/>
      <c r="L966" s="2"/>
      <c r="M966" s="2"/>
      <c r="N966" s="2"/>
      <c r="O966" s="2"/>
      <c r="P966" s="2"/>
      <c r="Q966" s="22"/>
      <c r="R966" s="22"/>
      <c r="U966" s="71"/>
      <c r="V966" s="71"/>
      <c r="W966" s="22"/>
    </row>
    <row r="967" spans="5:23" x14ac:dyDescent="0.25">
      <c r="E967" s="2"/>
      <c r="F967" s="2"/>
      <c r="G967" s="2"/>
      <c r="H967" s="22"/>
      <c r="L967" s="2"/>
      <c r="M967" s="2"/>
      <c r="N967" s="2"/>
      <c r="O967" s="2"/>
      <c r="P967" s="2"/>
      <c r="Q967" s="22"/>
      <c r="R967" s="22"/>
      <c r="U967" s="71"/>
      <c r="V967" s="71"/>
      <c r="W967" s="22"/>
    </row>
    <row r="968" spans="5:23" x14ac:dyDescent="0.25">
      <c r="E968" s="2"/>
      <c r="F968" s="2"/>
      <c r="G968" s="2"/>
      <c r="H968" s="22"/>
      <c r="L968" s="2"/>
      <c r="M968" s="2"/>
      <c r="N968" s="2"/>
      <c r="O968" s="2"/>
      <c r="P968" s="2"/>
      <c r="Q968" s="22"/>
      <c r="R968" s="22"/>
      <c r="U968" s="71"/>
      <c r="V968" s="71"/>
      <c r="W968" s="22"/>
    </row>
    <row r="969" spans="5:23" x14ac:dyDescent="0.25">
      <c r="E969" s="2"/>
      <c r="F969" s="2"/>
      <c r="G969" s="2"/>
      <c r="H969" s="22"/>
      <c r="L969" s="2"/>
      <c r="M969" s="2"/>
      <c r="N969" s="2"/>
      <c r="O969" s="2"/>
      <c r="P969" s="2"/>
      <c r="Q969" s="22"/>
      <c r="R969" s="22"/>
      <c r="U969" s="71"/>
      <c r="V969" s="71"/>
      <c r="W969" s="22"/>
    </row>
    <row r="970" spans="5:23" x14ac:dyDescent="0.25">
      <c r="E970" s="2"/>
      <c r="F970" s="2"/>
      <c r="G970" s="2"/>
      <c r="H970" s="22"/>
      <c r="L970" s="2"/>
      <c r="M970" s="2"/>
      <c r="N970" s="2"/>
      <c r="O970" s="2"/>
      <c r="P970" s="2"/>
      <c r="Q970" s="22"/>
      <c r="R970" s="22"/>
      <c r="U970" s="71"/>
      <c r="V970" s="71"/>
      <c r="W970" s="22"/>
    </row>
    <row r="971" spans="5:23" x14ac:dyDescent="0.25">
      <c r="E971" s="2"/>
      <c r="F971" s="2"/>
      <c r="G971" s="2"/>
      <c r="H971" s="22"/>
      <c r="L971" s="2"/>
      <c r="M971" s="2"/>
      <c r="N971" s="2"/>
      <c r="O971" s="2"/>
      <c r="P971" s="2"/>
      <c r="Q971" s="22"/>
      <c r="R971" s="22"/>
      <c r="U971" s="71"/>
      <c r="V971" s="71"/>
      <c r="W971" s="22"/>
    </row>
    <row r="972" spans="5:23" x14ac:dyDescent="0.25">
      <c r="E972" s="2"/>
      <c r="F972" s="2"/>
      <c r="G972" s="2"/>
      <c r="H972" s="22"/>
      <c r="L972" s="2"/>
      <c r="M972" s="2"/>
      <c r="N972" s="2"/>
      <c r="O972" s="2"/>
      <c r="P972" s="2"/>
      <c r="Q972" s="22"/>
      <c r="R972" s="22"/>
      <c r="U972" s="71"/>
      <c r="V972" s="71"/>
      <c r="W972" s="22"/>
    </row>
    <row r="973" spans="5:23" x14ac:dyDescent="0.25">
      <c r="E973" s="2"/>
      <c r="F973" s="2"/>
      <c r="G973" s="2"/>
      <c r="H973" s="22"/>
      <c r="L973" s="2"/>
      <c r="M973" s="2"/>
      <c r="N973" s="2"/>
      <c r="O973" s="2"/>
      <c r="P973" s="2"/>
      <c r="Q973" s="22"/>
      <c r="R973" s="22"/>
      <c r="U973" s="71"/>
      <c r="V973" s="71"/>
      <c r="W973" s="22"/>
    </row>
    <row r="974" spans="5:23" x14ac:dyDescent="0.25">
      <c r="E974" s="2"/>
      <c r="F974" s="2"/>
      <c r="G974" s="2"/>
      <c r="H974" s="22"/>
      <c r="L974" s="2"/>
      <c r="M974" s="2"/>
      <c r="N974" s="2"/>
      <c r="O974" s="2"/>
      <c r="P974" s="2"/>
      <c r="Q974" s="22"/>
      <c r="R974" s="22"/>
      <c r="U974" s="71"/>
      <c r="V974" s="71"/>
      <c r="W974" s="22"/>
    </row>
    <row r="975" spans="5:23" x14ac:dyDescent="0.25">
      <c r="E975" s="2"/>
      <c r="F975" s="2"/>
      <c r="G975" s="2"/>
      <c r="H975" s="22"/>
      <c r="L975" s="2"/>
      <c r="M975" s="2"/>
      <c r="N975" s="2"/>
      <c r="O975" s="2"/>
      <c r="P975" s="2"/>
      <c r="Q975" s="22"/>
      <c r="R975" s="22"/>
      <c r="U975" s="71"/>
      <c r="V975" s="71"/>
      <c r="W975" s="22"/>
    </row>
    <row r="976" spans="5:23" x14ac:dyDescent="0.25">
      <c r="E976" s="2"/>
      <c r="F976" s="2"/>
      <c r="G976" s="2"/>
      <c r="H976" s="22"/>
      <c r="L976" s="2"/>
      <c r="M976" s="2"/>
      <c r="N976" s="2"/>
      <c r="O976" s="2"/>
      <c r="P976" s="2"/>
      <c r="Q976" s="22"/>
      <c r="R976" s="22"/>
      <c r="U976" s="71"/>
      <c r="V976" s="71"/>
      <c r="W976" s="22"/>
    </row>
    <row r="977" spans="5:23" x14ac:dyDescent="0.25">
      <c r="E977" s="2"/>
      <c r="F977" s="2"/>
      <c r="G977" s="2"/>
      <c r="H977" s="22"/>
      <c r="L977" s="2"/>
      <c r="M977" s="2"/>
      <c r="N977" s="2"/>
      <c r="O977" s="2"/>
      <c r="P977" s="2"/>
      <c r="Q977" s="22"/>
      <c r="R977" s="22"/>
      <c r="U977" s="71"/>
      <c r="V977" s="71"/>
      <c r="W977" s="22"/>
    </row>
    <row r="978" spans="5:23" x14ac:dyDescent="0.25">
      <c r="E978" s="2"/>
      <c r="F978" s="2"/>
      <c r="G978" s="2"/>
      <c r="H978" s="22"/>
      <c r="L978" s="2"/>
      <c r="M978" s="2"/>
      <c r="N978" s="2"/>
      <c r="O978" s="2"/>
      <c r="P978" s="2"/>
      <c r="Q978" s="22"/>
      <c r="R978" s="22"/>
      <c r="U978" s="71"/>
      <c r="V978" s="71"/>
      <c r="W978" s="22"/>
    </row>
    <row r="979" spans="5:23" x14ac:dyDescent="0.25">
      <c r="E979" s="2"/>
      <c r="F979" s="2"/>
      <c r="G979" s="2"/>
      <c r="H979" s="22"/>
      <c r="L979" s="2"/>
      <c r="M979" s="2"/>
      <c r="N979" s="2"/>
      <c r="O979" s="2"/>
      <c r="P979" s="2"/>
      <c r="Q979" s="22"/>
      <c r="R979" s="22"/>
      <c r="U979" s="71"/>
      <c r="V979" s="71"/>
      <c r="W979" s="22"/>
    </row>
    <row r="980" spans="5:23" x14ac:dyDescent="0.25">
      <c r="E980" s="2"/>
      <c r="F980" s="2"/>
      <c r="G980" s="2"/>
      <c r="H980" s="22"/>
      <c r="L980" s="2"/>
      <c r="M980" s="2"/>
      <c r="N980" s="2"/>
      <c r="O980" s="2"/>
      <c r="P980" s="2"/>
      <c r="Q980" s="22"/>
      <c r="R980" s="22"/>
      <c r="U980" s="71"/>
      <c r="V980" s="71"/>
      <c r="W980" s="22"/>
    </row>
    <row r="981" spans="5:23" x14ac:dyDescent="0.25">
      <c r="E981" s="2"/>
      <c r="F981" s="2"/>
      <c r="G981" s="2"/>
      <c r="H981" s="22"/>
      <c r="L981" s="2"/>
      <c r="M981" s="2"/>
      <c r="N981" s="2"/>
      <c r="O981" s="2"/>
      <c r="P981" s="2"/>
      <c r="Q981" s="22"/>
      <c r="R981" s="22"/>
      <c r="U981" s="71"/>
      <c r="V981" s="71"/>
      <c r="W981" s="22"/>
    </row>
    <row r="982" spans="5:23" x14ac:dyDescent="0.25">
      <c r="E982" s="2"/>
      <c r="F982" s="2"/>
      <c r="G982" s="2"/>
      <c r="H982" s="22"/>
      <c r="L982" s="2"/>
      <c r="M982" s="2"/>
      <c r="N982" s="2"/>
      <c r="O982" s="2"/>
      <c r="P982" s="2"/>
      <c r="Q982" s="22"/>
      <c r="R982" s="22"/>
      <c r="U982" s="71"/>
      <c r="V982" s="71"/>
      <c r="W982" s="22"/>
    </row>
    <row r="983" spans="5:23" x14ac:dyDescent="0.25">
      <c r="E983" s="2"/>
      <c r="F983" s="2"/>
      <c r="G983" s="2"/>
      <c r="H983" s="22"/>
      <c r="L983" s="2"/>
      <c r="M983" s="2"/>
      <c r="N983" s="2"/>
      <c r="O983" s="2"/>
      <c r="P983" s="2"/>
      <c r="Q983" s="22"/>
      <c r="R983" s="22"/>
      <c r="U983" s="71"/>
      <c r="V983" s="71"/>
      <c r="W983" s="22"/>
    </row>
    <row r="984" spans="5:23" x14ac:dyDescent="0.25">
      <c r="E984" s="2"/>
      <c r="F984" s="2"/>
      <c r="G984" s="2"/>
      <c r="H984" s="22"/>
      <c r="L984" s="2"/>
      <c r="M984" s="2"/>
      <c r="N984" s="2"/>
      <c r="O984" s="2"/>
      <c r="P984" s="2"/>
      <c r="Q984" s="22"/>
      <c r="R984" s="22"/>
      <c r="U984" s="71"/>
      <c r="V984" s="71"/>
      <c r="W984" s="22"/>
    </row>
    <row r="985" spans="5:23" x14ac:dyDescent="0.25">
      <c r="E985" s="2"/>
      <c r="F985" s="2"/>
      <c r="G985" s="2"/>
      <c r="H985" s="22"/>
      <c r="L985" s="2"/>
      <c r="M985" s="2"/>
      <c r="N985" s="2"/>
      <c r="O985" s="2"/>
      <c r="P985" s="2"/>
      <c r="Q985" s="22"/>
      <c r="R985" s="22"/>
      <c r="U985" s="71"/>
      <c r="V985" s="71"/>
      <c r="W985" s="22"/>
    </row>
    <row r="986" spans="5:23" x14ac:dyDescent="0.25">
      <c r="E986" s="2"/>
      <c r="F986" s="2"/>
      <c r="G986" s="2"/>
      <c r="H986" s="22"/>
      <c r="L986" s="2"/>
      <c r="M986" s="2"/>
      <c r="N986" s="2"/>
      <c r="O986" s="2"/>
      <c r="P986" s="2"/>
      <c r="Q986" s="22"/>
      <c r="R986" s="22"/>
      <c r="U986" s="71"/>
      <c r="V986" s="71"/>
      <c r="W986" s="22"/>
    </row>
    <row r="987" spans="5:23" x14ac:dyDescent="0.25">
      <c r="E987" s="2"/>
      <c r="F987" s="2"/>
      <c r="G987" s="2"/>
      <c r="H987" s="22"/>
      <c r="L987" s="2"/>
      <c r="M987" s="2"/>
      <c r="N987" s="2"/>
      <c r="O987" s="2"/>
      <c r="P987" s="2"/>
      <c r="Q987" s="22"/>
      <c r="R987" s="22"/>
      <c r="U987" s="71"/>
      <c r="V987" s="71"/>
      <c r="W987" s="22"/>
    </row>
    <row r="988" spans="5:23" x14ac:dyDescent="0.25">
      <c r="E988" s="2"/>
      <c r="F988" s="2"/>
      <c r="G988" s="2"/>
      <c r="H988" s="22"/>
      <c r="L988" s="2"/>
      <c r="M988" s="2"/>
      <c r="N988" s="2"/>
      <c r="O988" s="2"/>
      <c r="P988" s="2"/>
      <c r="Q988" s="22"/>
      <c r="R988" s="22"/>
      <c r="U988" s="71"/>
      <c r="V988" s="71"/>
      <c r="W988" s="22"/>
    </row>
    <row r="989" spans="5:23" x14ac:dyDescent="0.25">
      <c r="E989" s="2"/>
      <c r="F989" s="2"/>
      <c r="G989" s="2"/>
      <c r="H989" s="22"/>
      <c r="L989" s="2"/>
      <c r="M989" s="2"/>
      <c r="N989" s="2"/>
      <c r="O989" s="2"/>
      <c r="P989" s="2"/>
      <c r="Q989" s="22"/>
      <c r="R989" s="22"/>
      <c r="U989" s="71"/>
      <c r="V989" s="71"/>
      <c r="W989" s="22"/>
    </row>
    <row r="990" spans="5:23" x14ac:dyDescent="0.25">
      <c r="E990" s="2"/>
      <c r="F990" s="2"/>
      <c r="G990" s="2"/>
      <c r="H990" s="22"/>
      <c r="L990" s="2"/>
      <c r="M990" s="2"/>
      <c r="N990" s="2"/>
      <c r="O990" s="2"/>
      <c r="P990" s="2"/>
      <c r="Q990" s="22"/>
      <c r="R990" s="22"/>
      <c r="U990" s="71"/>
      <c r="V990" s="71"/>
      <c r="W990" s="22"/>
    </row>
    <row r="991" spans="5:23" x14ac:dyDescent="0.25">
      <c r="E991" s="2"/>
      <c r="F991" s="2"/>
      <c r="G991" s="2"/>
      <c r="H991" s="22"/>
      <c r="L991" s="2"/>
      <c r="M991" s="2"/>
      <c r="N991" s="2"/>
      <c r="O991" s="2"/>
      <c r="P991" s="2"/>
      <c r="Q991" s="22"/>
      <c r="R991" s="22"/>
      <c r="U991" s="71"/>
      <c r="V991" s="71"/>
      <c r="W991" s="22"/>
    </row>
    <row r="992" spans="5:23" x14ac:dyDescent="0.25">
      <c r="E992" s="2"/>
      <c r="F992" s="2"/>
      <c r="G992" s="2"/>
      <c r="H992" s="22"/>
      <c r="L992" s="2"/>
      <c r="M992" s="2"/>
      <c r="N992" s="2"/>
      <c r="O992" s="2"/>
      <c r="P992" s="2"/>
      <c r="Q992" s="22"/>
      <c r="R992" s="22"/>
      <c r="U992" s="71"/>
      <c r="V992" s="71"/>
      <c r="W992" s="22"/>
    </row>
    <row r="993" spans="5:23" x14ac:dyDescent="0.25">
      <c r="E993" s="2"/>
      <c r="F993" s="2"/>
      <c r="G993" s="2"/>
      <c r="H993" s="22"/>
      <c r="L993" s="2"/>
      <c r="M993" s="2"/>
      <c r="N993" s="2"/>
      <c r="O993" s="2"/>
      <c r="P993" s="2"/>
      <c r="Q993" s="22"/>
      <c r="R993" s="22"/>
      <c r="U993" s="71"/>
      <c r="V993" s="71"/>
      <c r="W993" s="22"/>
    </row>
    <row r="994" spans="5:23" x14ac:dyDescent="0.25">
      <c r="E994" s="2"/>
      <c r="F994" s="2"/>
      <c r="G994" s="2"/>
      <c r="H994" s="22"/>
      <c r="L994" s="2"/>
      <c r="M994" s="2"/>
      <c r="N994" s="2"/>
      <c r="O994" s="2"/>
      <c r="P994" s="2"/>
      <c r="Q994" s="22"/>
      <c r="R994" s="22"/>
      <c r="U994" s="71"/>
      <c r="V994" s="71"/>
      <c r="W994" s="22"/>
    </row>
    <row r="995" spans="5:23" x14ac:dyDescent="0.25">
      <c r="E995" s="2"/>
      <c r="F995" s="2"/>
      <c r="G995" s="2"/>
      <c r="H995" s="22"/>
      <c r="L995" s="2"/>
      <c r="M995" s="2"/>
      <c r="N995" s="2"/>
      <c r="O995" s="2"/>
      <c r="P995" s="2"/>
      <c r="Q995" s="22"/>
      <c r="R995" s="22"/>
      <c r="U995" s="71"/>
      <c r="V995" s="71"/>
      <c r="W995" s="22"/>
    </row>
    <row r="996" spans="5:23" x14ac:dyDescent="0.25">
      <c r="E996" s="2"/>
      <c r="F996" s="2"/>
      <c r="G996" s="2"/>
      <c r="H996" s="22"/>
      <c r="L996" s="2"/>
      <c r="M996" s="2"/>
      <c r="N996" s="2"/>
      <c r="O996" s="2"/>
      <c r="P996" s="2"/>
      <c r="Q996" s="22"/>
      <c r="R996" s="22"/>
      <c r="U996" s="71"/>
      <c r="V996" s="71"/>
      <c r="W996" s="22"/>
    </row>
    <row r="997" spans="5:23" x14ac:dyDescent="0.25">
      <c r="E997" s="2"/>
      <c r="F997" s="2"/>
      <c r="G997" s="2"/>
      <c r="H997" s="22"/>
      <c r="L997" s="2"/>
      <c r="M997" s="2"/>
      <c r="N997" s="2"/>
      <c r="O997" s="2"/>
      <c r="P997" s="2"/>
      <c r="Q997" s="22"/>
      <c r="R997" s="22"/>
      <c r="U997" s="71"/>
      <c r="V997" s="71"/>
      <c r="W997" s="22"/>
    </row>
    <row r="998" spans="5:23" x14ac:dyDescent="0.25">
      <c r="E998" s="2"/>
      <c r="F998" s="2"/>
      <c r="G998" s="2"/>
      <c r="H998" s="22"/>
      <c r="L998" s="2"/>
      <c r="M998" s="2"/>
      <c r="N998" s="2"/>
      <c r="O998" s="2"/>
      <c r="P998" s="2"/>
      <c r="Q998" s="22"/>
      <c r="R998" s="22"/>
      <c r="U998" s="71"/>
      <c r="V998" s="71"/>
      <c r="W998" s="22"/>
    </row>
    <row r="999" spans="5:23" x14ac:dyDescent="0.25">
      <c r="E999" s="2"/>
      <c r="F999" s="2"/>
      <c r="G999" s="2"/>
      <c r="H999" s="22"/>
      <c r="L999" s="2"/>
      <c r="M999" s="2"/>
      <c r="N999" s="2"/>
      <c r="O999" s="2"/>
      <c r="P999" s="2"/>
      <c r="Q999" s="22"/>
      <c r="R999" s="22"/>
      <c r="U999" s="71"/>
      <c r="V999" s="71"/>
      <c r="W999" s="22"/>
    </row>
    <row r="1000" spans="5:23" x14ac:dyDescent="0.25">
      <c r="E1000" s="2"/>
      <c r="F1000" s="2"/>
      <c r="G1000" s="2"/>
      <c r="H1000" s="22"/>
      <c r="L1000" s="2"/>
      <c r="M1000" s="2"/>
      <c r="N1000" s="2"/>
      <c r="O1000" s="2"/>
      <c r="P1000" s="2"/>
      <c r="Q1000" s="22"/>
      <c r="R1000" s="22"/>
      <c r="U1000" s="71"/>
      <c r="V1000" s="71"/>
      <c r="W1000" s="22"/>
    </row>
    <row r="1001" spans="5:23" x14ac:dyDescent="0.25">
      <c r="E1001" s="2"/>
      <c r="F1001" s="2"/>
      <c r="G1001" s="2"/>
      <c r="H1001" s="22"/>
      <c r="L1001" s="2"/>
      <c r="M1001" s="2"/>
      <c r="N1001" s="2"/>
      <c r="O1001" s="2"/>
      <c r="P1001" s="2"/>
      <c r="Q1001" s="22"/>
      <c r="R1001" s="22"/>
      <c r="U1001" s="71"/>
      <c r="V1001" s="71"/>
      <c r="W1001" s="22"/>
    </row>
    <row r="1002" spans="5:23" x14ac:dyDescent="0.25">
      <c r="E1002" s="2"/>
      <c r="F1002" s="2"/>
      <c r="G1002" s="2"/>
      <c r="H1002" s="22"/>
      <c r="L1002" s="2"/>
      <c r="M1002" s="2"/>
      <c r="N1002" s="2"/>
      <c r="O1002" s="2"/>
      <c r="P1002" s="2"/>
      <c r="Q1002" s="22"/>
      <c r="R1002" s="22"/>
      <c r="U1002" s="71"/>
      <c r="V1002" s="71"/>
      <c r="W1002" s="22"/>
    </row>
    <row r="1003" spans="5:23" x14ac:dyDescent="0.25">
      <c r="E1003" s="2"/>
      <c r="F1003" s="2"/>
      <c r="G1003" s="2"/>
      <c r="H1003" s="22"/>
      <c r="L1003" s="2"/>
      <c r="M1003" s="2"/>
      <c r="N1003" s="2"/>
      <c r="O1003" s="2"/>
      <c r="P1003" s="2"/>
      <c r="Q1003" s="22"/>
      <c r="R1003" s="22"/>
      <c r="U1003" s="71"/>
      <c r="V1003" s="71"/>
      <c r="W1003" s="22"/>
    </row>
    <row r="1004" spans="5:23" x14ac:dyDescent="0.25">
      <c r="E1004" s="2"/>
      <c r="F1004" s="2"/>
      <c r="G1004" s="2"/>
      <c r="H1004" s="22"/>
      <c r="L1004" s="2"/>
      <c r="M1004" s="2"/>
      <c r="N1004" s="2"/>
      <c r="O1004" s="2"/>
      <c r="P1004" s="2"/>
      <c r="Q1004" s="22"/>
      <c r="R1004" s="22"/>
      <c r="U1004" s="71"/>
      <c r="V1004" s="71"/>
      <c r="W1004" s="22"/>
    </row>
    <row r="1005" spans="5:23" x14ac:dyDescent="0.25">
      <c r="E1005" s="2"/>
      <c r="F1005" s="2"/>
      <c r="G1005" s="2"/>
      <c r="H1005" s="22"/>
      <c r="L1005" s="2"/>
      <c r="M1005" s="2"/>
      <c r="N1005" s="2"/>
      <c r="O1005" s="2"/>
      <c r="P1005" s="2"/>
      <c r="Q1005" s="22"/>
      <c r="R1005" s="22"/>
      <c r="U1005" s="71"/>
      <c r="V1005" s="71"/>
      <c r="W1005" s="22"/>
    </row>
    <row r="1006" spans="5:23" x14ac:dyDescent="0.25">
      <c r="E1006" s="2"/>
      <c r="F1006" s="2"/>
      <c r="G1006" s="2"/>
      <c r="H1006" s="22"/>
      <c r="L1006" s="2"/>
      <c r="M1006" s="2"/>
      <c r="N1006" s="2"/>
      <c r="O1006" s="2"/>
      <c r="P1006" s="2"/>
      <c r="Q1006" s="22"/>
      <c r="R1006" s="22"/>
      <c r="U1006" s="71"/>
      <c r="V1006" s="71"/>
      <c r="W1006" s="22"/>
    </row>
    <row r="1007" spans="5:23" x14ac:dyDescent="0.25">
      <c r="E1007" s="2"/>
      <c r="F1007" s="2"/>
      <c r="G1007" s="2"/>
      <c r="H1007" s="22"/>
      <c r="L1007" s="2"/>
      <c r="M1007" s="2"/>
      <c r="N1007" s="2"/>
      <c r="O1007" s="2"/>
      <c r="P1007" s="2"/>
      <c r="Q1007" s="22"/>
      <c r="R1007" s="22"/>
      <c r="U1007" s="71"/>
      <c r="V1007" s="71"/>
      <c r="W1007" s="22"/>
    </row>
    <row r="1008" spans="5:23" x14ac:dyDescent="0.25">
      <c r="E1008" s="2"/>
      <c r="F1008" s="2"/>
      <c r="G1008" s="2"/>
      <c r="H1008" s="22"/>
      <c r="L1008" s="2"/>
      <c r="M1008" s="2"/>
      <c r="N1008" s="2"/>
      <c r="O1008" s="2"/>
      <c r="P1008" s="2"/>
      <c r="Q1008" s="22"/>
      <c r="R1008" s="22"/>
      <c r="U1008" s="71"/>
      <c r="V1008" s="71"/>
      <c r="W1008" s="22"/>
    </row>
    <row r="1009" spans="5:23" x14ac:dyDescent="0.25">
      <c r="E1009" s="2"/>
      <c r="F1009" s="2"/>
      <c r="G1009" s="2"/>
      <c r="H1009" s="22"/>
      <c r="L1009" s="2"/>
      <c r="M1009" s="2"/>
      <c r="N1009" s="2"/>
      <c r="O1009" s="2"/>
      <c r="P1009" s="2"/>
      <c r="Q1009" s="22"/>
      <c r="R1009" s="22"/>
      <c r="U1009" s="71"/>
      <c r="V1009" s="71"/>
      <c r="W1009" s="22"/>
    </row>
    <row r="1010" spans="5:23" x14ac:dyDescent="0.25">
      <c r="E1010" s="2"/>
      <c r="F1010" s="2"/>
      <c r="G1010" s="2"/>
      <c r="H1010" s="22"/>
      <c r="L1010" s="2"/>
      <c r="M1010" s="2"/>
      <c r="N1010" s="2"/>
      <c r="O1010" s="2"/>
      <c r="P1010" s="2"/>
      <c r="Q1010" s="22"/>
      <c r="R1010" s="22"/>
      <c r="U1010" s="71"/>
      <c r="V1010" s="71"/>
      <c r="W1010" s="22"/>
    </row>
    <row r="1011" spans="5:23" x14ac:dyDescent="0.25">
      <c r="E1011" s="2"/>
      <c r="F1011" s="2"/>
      <c r="G1011" s="2"/>
      <c r="H1011" s="22"/>
      <c r="L1011" s="2"/>
      <c r="M1011" s="2"/>
      <c r="N1011" s="2"/>
      <c r="O1011" s="2"/>
      <c r="P1011" s="2"/>
      <c r="Q1011" s="22"/>
      <c r="R1011" s="22"/>
      <c r="U1011" s="71"/>
      <c r="V1011" s="71"/>
      <c r="W1011" s="22"/>
    </row>
    <row r="1012" spans="5:23" x14ac:dyDescent="0.25">
      <c r="E1012" s="2"/>
      <c r="F1012" s="2"/>
      <c r="G1012" s="2"/>
      <c r="H1012" s="22"/>
      <c r="L1012" s="2"/>
      <c r="M1012" s="2"/>
      <c r="N1012" s="2"/>
      <c r="O1012" s="2"/>
      <c r="P1012" s="2"/>
      <c r="Q1012" s="22"/>
      <c r="R1012" s="22"/>
      <c r="U1012" s="71"/>
      <c r="V1012" s="71"/>
      <c r="W1012" s="22"/>
    </row>
    <row r="1013" spans="5:23" x14ac:dyDescent="0.25">
      <c r="E1013" s="2"/>
      <c r="F1013" s="2"/>
      <c r="G1013" s="2"/>
      <c r="H1013" s="22"/>
      <c r="L1013" s="2"/>
      <c r="M1013" s="2"/>
      <c r="N1013" s="2"/>
      <c r="O1013" s="2"/>
      <c r="P1013" s="2"/>
      <c r="Q1013" s="22"/>
      <c r="R1013" s="22"/>
      <c r="U1013" s="71"/>
      <c r="V1013" s="71"/>
      <c r="W1013" s="22"/>
    </row>
    <row r="1014" spans="5:23" x14ac:dyDescent="0.25">
      <c r="E1014" s="2"/>
      <c r="F1014" s="2"/>
      <c r="G1014" s="2"/>
      <c r="H1014" s="22"/>
      <c r="L1014" s="2"/>
      <c r="M1014" s="2"/>
      <c r="N1014" s="2"/>
      <c r="O1014" s="2"/>
      <c r="P1014" s="2"/>
      <c r="Q1014" s="22"/>
      <c r="R1014" s="22"/>
      <c r="U1014" s="71"/>
      <c r="V1014" s="71"/>
      <c r="W1014" s="22"/>
    </row>
    <row r="1015" spans="5:23" x14ac:dyDescent="0.25">
      <c r="E1015" s="2"/>
      <c r="F1015" s="2"/>
      <c r="G1015" s="2"/>
      <c r="H1015" s="22"/>
      <c r="L1015" s="2"/>
      <c r="M1015" s="2"/>
      <c r="N1015" s="2"/>
      <c r="O1015" s="2"/>
      <c r="P1015" s="2"/>
      <c r="Q1015" s="22"/>
      <c r="R1015" s="22"/>
      <c r="U1015" s="71"/>
      <c r="V1015" s="71"/>
      <c r="W1015" s="22"/>
    </row>
    <row r="1016" spans="5:23" x14ac:dyDescent="0.25">
      <c r="E1016" s="2"/>
      <c r="F1016" s="2"/>
      <c r="G1016" s="2"/>
      <c r="H1016" s="22"/>
      <c r="L1016" s="2"/>
      <c r="M1016" s="2"/>
      <c r="N1016" s="2"/>
      <c r="O1016" s="2"/>
      <c r="P1016" s="2"/>
      <c r="Q1016" s="22"/>
      <c r="R1016" s="22"/>
      <c r="U1016" s="71"/>
      <c r="V1016" s="71"/>
      <c r="W1016" s="22"/>
    </row>
    <row r="1017" spans="5:23" x14ac:dyDescent="0.25">
      <c r="E1017" s="2"/>
      <c r="F1017" s="2"/>
      <c r="G1017" s="2"/>
      <c r="H1017" s="22"/>
      <c r="L1017" s="2"/>
      <c r="M1017" s="2"/>
      <c r="N1017" s="2"/>
      <c r="O1017" s="2"/>
      <c r="P1017" s="2"/>
      <c r="Q1017" s="22"/>
      <c r="R1017" s="22"/>
      <c r="U1017" s="71"/>
      <c r="V1017" s="71"/>
      <c r="W1017" s="22"/>
    </row>
    <row r="1018" spans="5:23" x14ac:dyDescent="0.25">
      <c r="E1018" s="2"/>
      <c r="F1018" s="2"/>
      <c r="G1018" s="2"/>
      <c r="H1018" s="22"/>
      <c r="L1018" s="2"/>
      <c r="M1018" s="2"/>
      <c r="N1018" s="2"/>
      <c r="O1018" s="2"/>
      <c r="P1018" s="2"/>
      <c r="Q1018" s="22"/>
      <c r="R1018" s="22"/>
      <c r="U1018" s="71"/>
      <c r="V1018" s="71"/>
      <c r="W1018" s="22"/>
    </row>
    <row r="1019" spans="5:23" x14ac:dyDescent="0.25">
      <c r="E1019" s="2"/>
      <c r="F1019" s="2"/>
      <c r="G1019" s="2"/>
      <c r="H1019" s="22"/>
      <c r="L1019" s="2"/>
      <c r="M1019" s="2"/>
      <c r="N1019" s="2"/>
      <c r="O1019" s="2"/>
      <c r="P1019" s="2"/>
      <c r="Q1019" s="22"/>
      <c r="R1019" s="22"/>
      <c r="U1019" s="71"/>
      <c r="V1019" s="71"/>
      <c r="W1019" s="22"/>
    </row>
    <row r="1020" spans="5:23" x14ac:dyDescent="0.25">
      <c r="E1020" s="2"/>
      <c r="F1020" s="2"/>
      <c r="G1020" s="2"/>
      <c r="H1020" s="22"/>
      <c r="L1020" s="2"/>
      <c r="M1020" s="2"/>
      <c r="N1020" s="2"/>
      <c r="O1020" s="2"/>
      <c r="P1020" s="2"/>
      <c r="Q1020" s="22"/>
      <c r="R1020" s="22"/>
      <c r="U1020" s="71"/>
      <c r="V1020" s="71"/>
      <c r="W1020" s="22"/>
    </row>
    <row r="1021" spans="5:23" x14ac:dyDescent="0.25">
      <c r="E1021" s="2"/>
      <c r="F1021" s="2"/>
      <c r="G1021" s="2"/>
      <c r="H1021" s="22"/>
      <c r="L1021" s="2"/>
      <c r="M1021" s="2"/>
      <c r="N1021" s="2"/>
      <c r="O1021" s="2"/>
      <c r="P1021" s="2"/>
      <c r="Q1021" s="22"/>
      <c r="R1021" s="22"/>
      <c r="U1021" s="71"/>
      <c r="V1021" s="71"/>
      <c r="W1021" s="22"/>
    </row>
    <row r="1022" spans="5:23" x14ac:dyDescent="0.25">
      <c r="E1022" s="2"/>
      <c r="F1022" s="2"/>
      <c r="G1022" s="2"/>
      <c r="H1022" s="22"/>
      <c r="L1022" s="2"/>
      <c r="M1022" s="2"/>
      <c r="N1022" s="2"/>
      <c r="O1022" s="2"/>
      <c r="P1022" s="2"/>
      <c r="Q1022" s="22"/>
      <c r="R1022" s="22"/>
      <c r="U1022" s="71"/>
      <c r="V1022" s="71"/>
      <c r="W1022" s="22"/>
    </row>
    <row r="1023" spans="5:23" x14ac:dyDescent="0.25">
      <c r="E1023" s="2"/>
      <c r="F1023" s="2"/>
      <c r="G1023" s="2"/>
      <c r="H1023" s="22"/>
      <c r="L1023" s="2"/>
      <c r="M1023" s="2"/>
      <c r="N1023" s="2"/>
      <c r="O1023" s="2"/>
      <c r="P1023" s="2"/>
      <c r="Q1023" s="22"/>
      <c r="R1023" s="22"/>
      <c r="U1023" s="71"/>
      <c r="V1023" s="71"/>
      <c r="W1023" s="22"/>
    </row>
    <row r="1024" spans="5:23" x14ac:dyDescent="0.25">
      <c r="E1024" s="2"/>
      <c r="F1024" s="2"/>
      <c r="G1024" s="2"/>
      <c r="H1024" s="22"/>
      <c r="L1024" s="2"/>
      <c r="M1024" s="2"/>
      <c r="N1024" s="2"/>
      <c r="O1024" s="2"/>
      <c r="P1024" s="2"/>
      <c r="Q1024" s="22"/>
      <c r="R1024" s="22"/>
      <c r="U1024" s="71"/>
      <c r="V1024" s="71"/>
      <c r="W1024" s="22"/>
    </row>
  </sheetData>
  <mergeCells count="80">
    <mergeCell ref="J148:J152"/>
    <mergeCell ref="J154:J158"/>
    <mergeCell ref="J112:J116"/>
    <mergeCell ref="J118:J122"/>
    <mergeCell ref="J124:J128"/>
    <mergeCell ref="J130:J134"/>
    <mergeCell ref="J136:J140"/>
    <mergeCell ref="J142:J146"/>
    <mergeCell ref="J106:J110"/>
    <mergeCell ref="J40:J44"/>
    <mergeCell ref="J46:J50"/>
    <mergeCell ref="J52:J56"/>
    <mergeCell ref="J58:J62"/>
    <mergeCell ref="J64:J68"/>
    <mergeCell ref="J70:J74"/>
    <mergeCell ref="J76:J80"/>
    <mergeCell ref="J82:J86"/>
    <mergeCell ref="J88:J92"/>
    <mergeCell ref="J94:J98"/>
    <mergeCell ref="J100:J104"/>
    <mergeCell ref="C142:C146"/>
    <mergeCell ref="C148:C152"/>
    <mergeCell ref="C154:C158"/>
    <mergeCell ref="L2:P2"/>
    <mergeCell ref="J4:J8"/>
    <mergeCell ref="J10:J14"/>
    <mergeCell ref="J16:J20"/>
    <mergeCell ref="J22:J26"/>
    <mergeCell ref="J28:J32"/>
    <mergeCell ref="J34:J38"/>
    <mergeCell ref="C106:C110"/>
    <mergeCell ref="C112:C116"/>
    <mergeCell ref="C118:C122"/>
    <mergeCell ref="C124:C128"/>
    <mergeCell ref="C130:C134"/>
    <mergeCell ref="C136:C140"/>
    <mergeCell ref="C100:C104"/>
    <mergeCell ref="C34:C38"/>
    <mergeCell ref="C40:C44"/>
    <mergeCell ref="C46:C50"/>
    <mergeCell ref="C52:C56"/>
    <mergeCell ref="C58:C62"/>
    <mergeCell ref="C64:C68"/>
    <mergeCell ref="C70:C74"/>
    <mergeCell ref="C76:C80"/>
    <mergeCell ref="C82:C86"/>
    <mergeCell ref="C88:C92"/>
    <mergeCell ref="C94:C98"/>
    <mergeCell ref="E2:G2"/>
    <mergeCell ref="C4:C8"/>
    <mergeCell ref="C10:C14"/>
    <mergeCell ref="C16:C20"/>
    <mergeCell ref="C22:C26"/>
    <mergeCell ref="C28:C32"/>
    <mergeCell ref="S4:S8"/>
    <mergeCell ref="S10:S14"/>
    <mergeCell ref="S16:S20"/>
    <mergeCell ref="S22:S26"/>
    <mergeCell ref="S28:S32"/>
    <mergeCell ref="S34:S38"/>
    <mergeCell ref="S40:S44"/>
    <mergeCell ref="S46:S50"/>
    <mergeCell ref="S52:S56"/>
    <mergeCell ref="S58:S62"/>
    <mergeCell ref="S64:S68"/>
    <mergeCell ref="S70:S74"/>
    <mergeCell ref="S76:S80"/>
    <mergeCell ref="S82:S86"/>
    <mergeCell ref="S88:S92"/>
    <mergeCell ref="S94:S98"/>
    <mergeCell ref="S100:S104"/>
    <mergeCell ref="S106:S110"/>
    <mergeCell ref="S112:S116"/>
    <mergeCell ref="S118:S122"/>
    <mergeCell ref="S154:S158"/>
    <mergeCell ref="S124:S128"/>
    <mergeCell ref="S130:S134"/>
    <mergeCell ref="S136:S140"/>
    <mergeCell ref="S142:S146"/>
    <mergeCell ref="S148:S152"/>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B099-AE41-48DC-BD36-14DDE9BEEE18}">
  <dimension ref="B1:Z19"/>
  <sheetViews>
    <sheetView topLeftCell="V1" zoomScale="95" zoomScaleNormal="89" workbookViewId="0">
      <selection activeCell="V13" sqref="V13"/>
    </sheetView>
  </sheetViews>
  <sheetFormatPr defaultRowHeight="13.2" x14ac:dyDescent="0.25"/>
  <cols>
    <col min="3" max="3" width="6.5546875" customWidth="1"/>
    <col min="4" max="4" width="6.21875" customWidth="1"/>
    <col min="5" max="5" width="5.88671875" customWidth="1"/>
    <col min="6" max="6" width="8.44140625" customWidth="1"/>
    <col min="7" max="7" width="6.33203125" customWidth="1"/>
    <col min="8" max="8" width="5.88671875" customWidth="1"/>
    <col min="9" max="9" width="6.88671875" customWidth="1"/>
    <col min="10" max="10" width="6.109375" customWidth="1"/>
    <col min="11" max="11" width="6.5546875" customWidth="1"/>
    <col min="14" max="14" width="8.88671875" style="77"/>
    <col min="15" max="15" width="10.5546875" customWidth="1"/>
    <col min="17" max="17" width="36.21875" bestFit="1" customWidth="1"/>
    <col min="18" max="18" width="9.109375" style="81" bestFit="1" customWidth="1"/>
    <col min="19" max="19" width="17.5546875" style="81" bestFit="1" customWidth="1"/>
    <col min="21" max="21" width="66.77734375" customWidth="1"/>
    <col min="22" max="22" width="11.33203125" style="81" customWidth="1"/>
    <col min="23" max="23" width="9" style="81" customWidth="1"/>
    <col min="24" max="24" width="16.109375" style="81" customWidth="1"/>
    <col min="25" max="25" width="13.6640625" style="81" customWidth="1"/>
    <col min="26" max="26" width="7.5546875" style="81" customWidth="1"/>
  </cols>
  <sheetData>
    <row r="1" spans="2:26" ht="13.8" thickBot="1" x14ac:dyDescent="0.3"/>
    <row r="2" spans="2:26" ht="14.4" thickBot="1" x14ac:dyDescent="0.3">
      <c r="M2" s="78" t="s">
        <v>251</v>
      </c>
      <c r="N2" s="79" t="s">
        <v>250</v>
      </c>
      <c r="O2" s="80" t="s">
        <v>252</v>
      </c>
    </row>
    <row r="3" spans="2:26" ht="36.6" customHeight="1" thickBot="1" x14ac:dyDescent="0.3">
      <c r="B3" s="76" t="s">
        <v>240</v>
      </c>
      <c r="C3" s="76" t="s">
        <v>241</v>
      </c>
      <c r="D3" s="76" t="s">
        <v>9</v>
      </c>
      <c r="E3" s="76" t="s">
        <v>242</v>
      </c>
      <c r="F3" s="76" t="s">
        <v>243</v>
      </c>
      <c r="G3" s="76" t="s">
        <v>244</v>
      </c>
      <c r="H3" s="76" t="s">
        <v>245</v>
      </c>
      <c r="I3" s="76" t="s">
        <v>246</v>
      </c>
      <c r="J3" s="76" t="s">
        <v>201</v>
      </c>
      <c r="K3" s="76" t="s">
        <v>247</v>
      </c>
      <c r="M3" s="78" t="s">
        <v>211</v>
      </c>
      <c r="N3" s="79">
        <v>1</v>
      </c>
      <c r="O3" s="79">
        <v>1</v>
      </c>
      <c r="Q3" s="82" t="s">
        <v>251</v>
      </c>
      <c r="R3" s="82" t="s">
        <v>253</v>
      </c>
      <c r="S3" s="82" t="s">
        <v>254</v>
      </c>
      <c r="U3" s="85" t="s">
        <v>251</v>
      </c>
      <c r="V3" s="85" t="s">
        <v>259</v>
      </c>
      <c r="W3" s="85" t="s">
        <v>260</v>
      </c>
      <c r="X3" s="85" t="s">
        <v>261</v>
      </c>
      <c r="Y3" s="85" t="s">
        <v>262</v>
      </c>
      <c r="Z3" s="85" t="s">
        <v>263</v>
      </c>
    </row>
    <row r="4" spans="2:26" ht="14.4" thickBot="1" x14ac:dyDescent="0.3">
      <c r="B4" s="76" t="s">
        <v>211</v>
      </c>
      <c r="C4" s="76"/>
      <c r="D4" s="76">
        <v>1.98</v>
      </c>
      <c r="E4" s="76"/>
      <c r="F4" s="76"/>
      <c r="G4" s="76"/>
      <c r="H4" s="76"/>
      <c r="I4" s="76"/>
      <c r="J4" s="76"/>
      <c r="K4" s="76"/>
      <c r="M4" s="78" t="s">
        <v>212</v>
      </c>
      <c r="N4" s="79">
        <v>1</v>
      </c>
      <c r="O4" s="79">
        <v>1</v>
      </c>
      <c r="Q4" s="83" t="s">
        <v>255</v>
      </c>
      <c r="R4" s="84">
        <v>0.67699069655396305</v>
      </c>
      <c r="S4" s="84">
        <v>0.66699069655396304</v>
      </c>
      <c r="T4" s="37">
        <v>1</v>
      </c>
      <c r="U4" s="86" t="s">
        <v>264</v>
      </c>
      <c r="V4" s="87">
        <v>0.111</v>
      </c>
      <c r="W4" s="87">
        <v>0.28599999999999998</v>
      </c>
      <c r="X4" s="87">
        <v>6.0999999999999999E-2</v>
      </c>
      <c r="Y4" s="87">
        <v>4.6529999999999996</v>
      </c>
      <c r="Z4" s="88">
        <v>0</v>
      </c>
    </row>
    <row r="5" spans="2:26" ht="14.4" thickBot="1" x14ac:dyDescent="0.3">
      <c r="B5" s="76" t="s">
        <v>212</v>
      </c>
      <c r="C5" s="76"/>
      <c r="D5" s="76"/>
      <c r="E5" s="76"/>
      <c r="F5" s="76"/>
      <c r="G5" s="76"/>
      <c r="H5" s="76"/>
      <c r="I5" s="76"/>
      <c r="J5" s="76"/>
      <c r="K5" s="76">
        <v>1.98</v>
      </c>
      <c r="M5" s="78" t="s">
        <v>213</v>
      </c>
      <c r="N5" s="79">
        <v>1</v>
      </c>
      <c r="O5" s="79">
        <v>1</v>
      </c>
      <c r="Q5" s="83" t="s">
        <v>256</v>
      </c>
      <c r="R5" s="84">
        <v>0.68642833651907698</v>
      </c>
      <c r="S5" s="84">
        <v>0.67642833651907697</v>
      </c>
      <c r="T5">
        <v>2</v>
      </c>
      <c r="U5" s="86" t="s">
        <v>265</v>
      </c>
      <c r="V5" s="87">
        <v>2.7E-2</v>
      </c>
      <c r="W5" s="87">
        <v>0.77800000000000002</v>
      </c>
      <c r="X5" s="87">
        <v>2.1999999999999999E-2</v>
      </c>
      <c r="Y5" s="87">
        <v>35.975000000000001</v>
      </c>
      <c r="Z5" s="88">
        <v>0</v>
      </c>
    </row>
    <row r="6" spans="2:26" ht="14.4" thickBot="1" x14ac:dyDescent="0.3">
      <c r="B6" s="76" t="s">
        <v>213</v>
      </c>
      <c r="C6" s="76"/>
      <c r="D6" s="76"/>
      <c r="E6" s="76"/>
      <c r="F6" s="76"/>
      <c r="G6" s="76"/>
      <c r="H6" s="76"/>
      <c r="I6" s="76"/>
      <c r="J6" s="76">
        <v>1.98</v>
      </c>
      <c r="K6" s="76"/>
      <c r="M6" s="78" t="s">
        <v>214</v>
      </c>
      <c r="N6" s="79">
        <v>1</v>
      </c>
      <c r="O6" s="79">
        <v>1</v>
      </c>
      <c r="Q6" s="83" t="s">
        <v>257</v>
      </c>
      <c r="R6" s="84">
        <v>0.61906308631096096</v>
      </c>
      <c r="S6" s="84">
        <v>0.60906308631096095</v>
      </c>
      <c r="T6">
        <v>3</v>
      </c>
      <c r="U6" s="86" t="s">
        <v>266</v>
      </c>
      <c r="V6" s="87">
        <v>4.8000000000000001E-2</v>
      </c>
      <c r="W6" s="87">
        <v>0.61299999999999999</v>
      </c>
      <c r="X6" s="87">
        <v>3.2000000000000001E-2</v>
      </c>
      <c r="Y6" s="87">
        <v>19.149999999999999</v>
      </c>
      <c r="Z6" s="88">
        <v>0</v>
      </c>
    </row>
    <row r="7" spans="2:26" ht="14.4" thickBot="1" x14ac:dyDescent="0.3">
      <c r="B7" s="76" t="s">
        <v>214</v>
      </c>
      <c r="C7" s="76"/>
      <c r="D7" s="76"/>
      <c r="E7" s="76"/>
      <c r="F7" s="76"/>
      <c r="G7" s="76">
        <v>1.98</v>
      </c>
      <c r="H7" s="76"/>
      <c r="I7" s="76"/>
      <c r="J7" s="76"/>
      <c r="K7" s="76"/>
      <c r="M7" s="78" t="s">
        <v>215</v>
      </c>
      <c r="N7" s="79">
        <v>1</v>
      </c>
      <c r="O7" s="79">
        <v>1</v>
      </c>
      <c r="Q7" s="83" t="s">
        <v>258</v>
      </c>
      <c r="R7" s="84">
        <v>0.61237266862184403</v>
      </c>
      <c r="S7" s="84">
        <v>0.60237266862184402</v>
      </c>
      <c r="T7">
        <v>4</v>
      </c>
      <c r="U7" s="86" t="s">
        <v>267</v>
      </c>
      <c r="V7" s="87">
        <v>0.04</v>
      </c>
      <c r="W7" s="87">
        <v>0.17499999999999999</v>
      </c>
      <c r="X7" s="87">
        <v>3.7999999999999999E-2</v>
      </c>
      <c r="Y7" s="87">
        <v>4.4969999999999999</v>
      </c>
      <c r="Z7" s="88">
        <v>0</v>
      </c>
    </row>
    <row r="8" spans="2:26" ht="14.4" thickBot="1" x14ac:dyDescent="0.3">
      <c r="B8" s="76" t="s">
        <v>215</v>
      </c>
      <c r="C8" s="76">
        <v>1.98</v>
      </c>
      <c r="D8" s="76"/>
      <c r="E8" s="76"/>
      <c r="F8" s="76"/>
      <c r="G8" s="76"/>
      <c r="H8" s="76"/>
      <c r="I8" s="76"/>
      <c r="J8" s="76"/>
      <c r="K8" s="76"/>
      <c r="M8" s="78" t="s">
        <v>209</v>
      </c>
      <c r="N8" s="79">
        <v>1</v>
      </c>
      <c r="O8" s="79">
        <v>1</v>
      </c>
      <c r="T8">
        <f>T7+1</f>
        <v>5</v>
      </c>
      <c r="U8" s="86" t="s">
        <v>268</v>
      </c>
      <c r="V8" s="87">
        <v>9.5000000000000001E-2</v>
      </c>
      <c r="W8" s="87">
        <v>0.40899999999999997</v>
      </c>
      <c r="X8" s="87">
        <v>0.10100000000000001</v>
      </c>
      <c r="Y8" s="87">
        <v>3.964</v>
      </c>
      <c r="Z8" s="88">
        <v>0</v>
      </c>
    </row>
    <row r="9" spans="2:26" ht="14.4" thickBot="1" x14ac:dyDescent="0.3">
      <c r="B9" s="76" t="s">
        <v>209</v>
      </c>
      <c r="C9" s="76"/>
      <c r="D9" s="76"/>
      <c r="E9" s="76">
        <v>1.98</v>
      </c>
      <c r="F9" s="76"/>
      <c r="G9" s="76"/>
      <c r="H9" s="76"/>
      <c r="I9" s="76"/>
      <c r="J9" s="76"/>
      <c r="K9" s="76"/>
      <c r="M9" s="78" t="s">
        <v>210</v>
      </c>
      <c r="N9" s="79">
        <v>1</v>
      </c>
      <c r="O9" s="79">
        <v>1</v>
      </c>
      <c r="T9">
        <f t="shared" ref="T9:T19" si="0">T8+1</f>
        <v>6</v>
      </c>
      <c r="U9" s="86" t="s">
        <v>269</v>
      </c>
      <c r="V9" s="87">
        <v>4.9000000000000002E-2</v>
      </c>
      <c r="W9" s="87">
        <v>0.61599999999999999</v>
      </c>
      <c r="X9" s="87">
        <v>3.2000000000000001E-2</v>
      </c>
      <c r="Y9" s="87">
        <v>18.884</v>
      </c>
      <c r="Z9" s="88">
        <v>0</v>
      </c>
    </row>
    <row r="10" spans="2:26" ht="14.4" thickBot="1" x14ac:dyDescent="0.3">
      <c r="B10" s="76" t="s">
        <v>210</v>
      </c>
      <c r="C10" s="76"/>
      <c r="D10" s="76"/>
      <c r="E10" s="76"/>
      <c r="F10" s="76">
        <v>1.98</v>
      </c>
      <c r="G10" s="76"/>
      <c r="H10" s="76"/>
      <c r="I10" s="76"/>
      <c r="J10" s="76"/>
      <c r="K10" s="76"/>
      <c r="M10" s="78" t="s">
        <v>248</v>
      </c>
      <c r="N10" s="79">
        <v>1</v>
      </c>
      <c r="O10" s="79">
        <v>1</v>
      </c>
      <c r="T10">
        <f t="shared" si="0"/>
        <v>7</v>
      </c>
      <c r="U10" s="86" t="s">
        <v>270</v>
      </c>
      <c r="V10" s="87">
        <v>0.216</v>
      </c>
      <c r="W10" s="87">
        <v>0.216</v>
      </c>
      <c r="X10" s="87">
        <v>0.105</v>
      </c>
      <c r="Y10" s="87">
        <v>2.0550000000000002</v>
      </c>
      <c r="Z10" s="88">
        <v>0.04</v>
      </c>
    </row>
    <row r="11" spans="2:26" ht="14.4" thickBot="1" x14ac:dyDescent="0.3">
      <c r="B11" s="76" t="s">
        <v>248</v>
      </c>
      <c r="C11" s="76"/>
      <c r="D11" s="76"/>
      <c r="E11" s="76"/>
      <c r="F11" s="76"/>
      <c r="G11" s="76"/>
      <c r="H11" s="76">
        <v>1.98</v>
      </c>
      <c r="I11" s="76"/>
      <c r="J11" s="76"/>
      <c r="K11" s="76"/>
      <c r="M11" s="78" t="s">
        <v>249</v>
      </c>
      <c r="N11" s="79">
        <v>1</v>
      </c>
      <c r="O11" s="79">
        <v>1</v>
      </c>
      <c r="T11">
        <f t="shared" si="0"/>
        <v>8</v>
      </c>
      <c r="U11" s="86" t="s">
        <v>271</v>
      </c>
      <c r="V11" s="87">
        <v>2.3E-2</v>
      </c>
      <c r="W11" s="87">
        <v>0.77800000000000002</v>
      </c>
      <c r="X11" s="87">
        <v>2.3E-2</v>
      </c>
      <c r="Y11" s="87">
        <v>34.445</v>
      </c>
      <c r="Z11" s="88">
        <v>0</v>
      </c>
    </row>
    <row r="12" spans="2:26" ht="14.4" thickBot="1" x14ac:dyDescent="0.3">
      <c r="B12" s="76" t="s">
        <v>249</v>
      </c>
      <c r="C12" s="76"/>
      <c r="D12" s="76"/>
      <c r="E12" s="76"/>
      <c r="F12" s="76"/>
      <c r="G12" s="76"/>
      <c r="H12" s="76"/>
      <c r="I12" s="76">
        <v>1.98</v>
      </c>
      <c r="J12" s="76"/>
      <c r="K12" s="76"/>
      <c r="T12">
        <f t="shared" si="0"/>
        <v>9</v>
      </c>
      <c r="U12" s="86" t="s">
        <v>272</v>
      </c>
      <c r="V12" s="87">
        <v>5.5E-2</v>
      </c>
      <c r="W12" s="87">
        <v>0.32600000000000001</v>
      </c>
      <c r="X12" s="87">
        <v>9.1999999999999998E-2</v>
      </c>
      <c r="Y12" s="87">
        <v>3.5870000000000002</v>
      </c>
      <c r="Z12" s="88">
        <v>0</v>
      </c>
    </row>
    <row r="13" spans="2:26" ht="14.4" thickBot="1" x14ac:dyDescent="0.3">
      <c r="T13">
        <f t="shared" si="0"/>
        <v>10</v>
      </c>
      <c r="U13" s="86" t="s">
        <v>273</v>
      </c>
      <c r="V13" s="87">
        <v>7.2999999999999995E-2</v>
      </c>
      <c r="W13" s="87">
        <v>0.48</v>
      </c>
      <c r="X13" s="87">
        <v>3.4000000000000002E-2</v>
      </c>
      <c r="Y13" s="87">
        <v>13.932</v>
      </c>
      <c r="Z13" s="88">
        <v>0</v>
      </c>
    </row>
    <row r="14" spans="2:26" ht="14.4" thickBot="1" x14ac:dyDescent="0.3">
      <c r="T14">
        <f t="shared" si="0"/>
        <v>11</v>
      </c>
      <c r="U14" s="86" t="s">
        <v>274</v>
      </c>
      <c r="V14" s="87">
        <v>2.4E-2</v>
      </c>
      <c r="W14" s="87">
        <v>0.318</v>
      </c>
      <c r="X14" s="87">
        <v>7.9000000000000001E-2</v>
      </c>
      <c r="Y14" s="87">
        <v>3.9430000000000001</v>
      </c>
      <c r="Z14" s="88">
        <v>0</v>
      </c>
    </row>
    <row r="15" spans="2:26" ht="14.4" thickBot="1" x14ac:dyDescent="0.3">
      <c r="T15">
        <f t="shared" si="0"/>
        <v>12</v>
      </c>
      <c r="U15" s="86" t="s">
        <v>275</v>
      </c>
      <c r="V15" s="87">
        <v>0.218</v>
      </c>
      <c r="W15" s="87">
        <v>-0.214</v>
      </c>
      <c r="X15" s="87">
        <v>9.1999999999999998E-2</v>
      </c>
      <c r="Y15" s="87">
        <v>2.363</v>
      </c>
      <c r="Z15" s="88">
        <v>1.9E-2</v>
      </c>
    </row>
    <row r="16" spans="2:26" ht="14.4" thickBot="1" x14ac:dyDescent="0.3">
      <c r="T16">
        <f t="shared" si="0"/>
        <v>13</v>
      </c>
      <c r="U16" s="86" t="s">
        <v>276</v>
      </c>
      <c r="V16" s="87">
        <v>9.0999999999999998E-2</v>
      </c>
      <c r="W16" s="87">
        <v>0.45900000000000002</v>
      </c>
      <c r="X16" s="87">
        <v>4.1000000000000002E-2</v>
      </c>
      <c r="Y16" s="87">
        <v>11.191000000000001</v>
      </c>
      <c r="Z16" s="88">
        <v>0</v>
      </c>
    </row>
    <row r="17" spans="20:26" ht="14.4" thickBot="1" x14ac:dyDescent="0.3">
      <c r="T17">
        <f t="shared" si="0"/>
        <v>14</v>
      </c>
      <c r="U17" s="86" t="s">
        <v>277</v>
      </c>
      <c r="V17" s="87">
        <v>9.4E-2</v>
      </c>
      <c r="W17" s="87">
        <v>0.224</v>
      </c>
      <c r="X17" s="87">
        <v>3.9E-2</v>
      </c>
      <c r="Y17" s="87">
        <v>5.6040000000000001</v>
      </c>
      <c r="Z17" s="88">
        <v>0</v>
      </c>
    </row>
    <row r="18" spans="20:26" ht="14.4" thickBot="1" x14ac:dyDescent="0.3">
      <c r="T18">
        <f t="shared" si="0"/>
        <v>15</v>
      </c>
      <c r="U18" s="86" t="s">
        <v>278</v>
      </c>
      <c r="V18" s="87">
        <v>0.11799999999999999</v>
      </c>
      <c r="W18" s="87">
        <v>0.498</v>
      </c>
      <c r="X18" s="87">
        <v>5.5E-2</v>
      </c>
      <c r="Y18" s="87">
        <v>9.0090000000000003</v>
      </c>
      <c r="Z18" s="88">
        <v>0</v>
      </c>
    </row>
    <row r="19" spans="20:26" ht="14.4" thickBot="1" x14ac:dyDescent="0.3">
      <c r="T19">
        <f t="shared" si="0"/>
        <v>16</v>
      </c>
      <c r="U19" s="86" t="s">
        <v>279</v>
      </c>
      <c r="V19" s="87">
        <v>4.8000000000000001E-2</v>
      </c>
      <c r="W19" s="87">
        <v>0.41599999999999998</v>
      </c>
      <c r="X19" s="87">
        <v>5.3999999999999999E-2</v>
      </c>
      <c r="Y19" s="87">
        <v>7.7880000000000003</v>
      </c>
      <c r="Z19" s="88">
        <v>0</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9F63-C337-4139-BB24-974063BEA4A6}">
  <dimension ref="B4:L1213"/>
  <sheetViews>
    <sheetView workbookViewId="0">
      <selection activeCell="O19" sqref="O19"/>
    </sheetView>
  </sheetViews>
  <sheetFormatPr defaultRowHeight="13.2" x14ac:dyDescent="0.25"/>
  <cols>
    <col min="2" max="2" width="12.6640625"/>
    <col min="9" max="9" width="9.5546875" bestFit="1" customWidth="1"/>
    <col min="11" max="11" width="10.88671875" style="75" customWidth="1"/>
  </cols>
  <sheetData>
    <row r="4" spans="2:12" x14ac:dyDescent="0.25">
      <c r="B4" s="101" t="s">
        <v>294</v>
      </c>
      <c r="C4" s="102" t="s">
        <v>7</v>
      </c>
      <c r="D4" s="103" t="s">
        <v>211</v>
      </c>
      <c r="E4" s="103" t="s">
        <v>212</v>
      </c>
      <c r="F4" s="103" t="s">
        <v>213</v>
      </c>
      <c r="G4" s="103" t="s">
        <v>214</v>
      </c>
      <c r="H4" s="103" t="s">
        <v>215</v>
      </c>
      <c r="I4" s="103" t="s">
        <v>209</v>
      </c>
      <c r="J4" s="103" t="s">
        <v>216</v>
      </c>
      <c r="K4" s="104" t="s">
        <v>217</v>
      </c>
      <c r="L4" s="103" t="s">
        <v>218</v>
      </c>
    </row>
    <row r="5" spans="2:12" ht="13.8" customHeight="1" x14ac:dyDescent="0.25">
      <c r="B5" s="114" t="s">
        <v>18</v>
      </c>
      <c r="C5" s="94">
        <v>2018</v>
      </c>
      <c r="D5" s="98">
        <v>0.53059999999999996</v>
      </c>
      <c r="E5" s="98">
        <v>30.148599999999998</v>
      </c>
      <c r="F5" s="98">
        <v>7.3573735384837427E-2</v>
      </c>
      <c r="G5" s="98">
        <v>0.70909999999999995</v>
      </c>
      <c r="H5" s="98">
        <v>0.60970293722415303</v>
      </c>
      <c r="I5" s="100">
        <v>1</v>
      </c>
      <c r="J5" s="100">
        <v>1</v>
      </c>
      <c r="K5" s="99">
        <v>3.2014027636303549E-4</v>
      </c>
      <c r="L5" s="98">
        <v>0.55559999999999998</v>
      </c>
    </row>
    <row r="6" spans="2:12" ht="13.8" customHeight="1" x14ac:dyDescent="0.25">
      <c r="B6" s="109"/>
      <c r="C6" s="94">
        <v>2019</v>
      </c>
      <c r="D6" s="98">
        <v>0.59860000000000002</v>
      </c>
      <c r="E6" s="98">
        <v>30.110399999999998</v>
      </c>
      <c r="F6" s="98">
        <v>4.4713689243833128E-3</v>
      </c>
      <c r="G6" s="98">
        <v>0.71299999999999997</v>
      </c>
      <c r="H6" s="98">
        <v>0.27753514966456827</v>
      </c>
      <c r="I6" s="100">
        <v>1</v>
      </c>
      <c r="J6" s="100">
        <v>1</v>
      </c>
      <c r="K6" s="99">
        <v>3.1781573592106144E-4</v>
      </c>
      <c r="L6" s="98">
        <v>0.72219999999999995</v>
      </c>
    </row>
    <row r="7" spans="2:12" ht="13.8" customHeight="1" x14ac:dyDescent="0.25">
      <c r="B7" s="109"/>
      <c r="C7" s="94">
        <v>2020</v>
      </c>
      <c r="D7" s="98">
        <v>0.56459999999999999</v>
      </c>
      <c r="E7" s="98">
        <v>30.0928</v>
      </c>
      <c r="F7" s="98">
        <v>-4.5221726985684683E-2</v>
      </c>
      <c r="G7" s="98">
        <v>0.80449999999999999</v>
      </c>
      <c r="H7" s="98">
        <v>0.50381737533739479</v>
      </c>
      <c r="I7" s="100">
        <v>1</v>
      </c>
      <c r="J7" s="100">
        <v>1</v>
      </c>
      <c r="K7" s="99">
        <v>6.6165183806372418E-4</v>
      </c>
      <c r="L7" s="98">
        <v>0.94440000000000002</v>
      </c>
    </row>
    <row r="8" spans="2:12" ht="13.8" customHeight="1" x14ac:dyDescent="0.25">
      <c r="B8" s="109"/>
      <c r="C8" s="94">
        <v>2021</v>
      </c>
      <c r="D8" s="98">
        <v>0.61899999999999999</v>
      </c>
      <c r="E8" s="98">
        <v>30.330100000000002</v>
      </c>
      <c r="F8" s="98">
        <v>0.2007998295695497</v>
      </c>
      <c r="G8" s="98">
        <v>0.65569999999999995</v>
      </c>
      <c r="H8" s="98">
        <v>1.2164132298215025</v>
      </c>
      <c r="I8" s="100">
        <v>1</v>
      </c>
      <c r="J8" s="100">
        <v>1</v>
      </c>
      <c r="K8" s="99">
        <v>3.818234899161816E-3</v>
      </c>
      <c r="L8" s="98">
        <v>0.61109999999999998</v>
      </c>
    </row>
    <row r="9" spans="2:12" ht="13.8" customHeight="1" thickBot="1" x14ac:dyDescent="0.3">
      <c r="B9" s="110"/>
      <c r="C9" s="94">
        <v>2022</v>
      </c>
      <c r="D9" s="98">
        <v>0.65310000000000001</v>
      </c>
      <c r="E9" s="98">
        <v>31.076000000000001</v>
      </c>
      <c r="F9" s="98">
        <v>0.23394410818075836</v>
      </c>
      <c r="G9" s="98">
        <v>0.6885</v>
      </c>
      <c r="H9" s="98">
        <v>0.81164042469758646</v>
      </c>
      <c r="I9" s="100">
        <v>1</v>
      </c>
      <c r="J9" s="100">
        <v>0.6</v>
      </c>
      <c r="K9" s="99">
        <v>2.5916107907641029E-3</v>
      </c>
      <c r="L9" s="98">
        <v>0.72219999999999995</v>
      </c>
    </row>
    <row r="10" spans="2:12" x14ac:dyDescent="0.25">
      <c r="B10" s="108" t="s">
        <v>39</v>
      </c>
      <c r="C10" s="94">
        <v>2018</v>
      </c>
      <c r="D10" s="98">
        <v>0.57140000000000002</v>
      </c>
      <c r="E10" s="98">
        <v>30.623799999999999</v>
      </c>
      <c r="F10" s="98">
        <v>8.6859441464509468E-2</v>
      </c>
      <c r="G10" s="98">
        <v>0.50219999999999998</v>
      </c>
      <c r="H10" s="98">
        <v>-5.5671484861969961E-2</v>
      </c>
      <c r="I10" s="100">
        <v>1</v>
      </c>
      <c r="J10" s="100">
        <v>0.6</v>
      </c>
      <c r="K10" s="99">
        <v>1.4219220237988203E-4</v>
      </c>
      <c r="L10" s="98">
        <v>0.27779999999999999</v>
      </c>
    </row>
    <row r="11" spans="2:12" ht="13.8" customHeight="1" x14ac:dyDescent="0.25">
      <c r="B11" s="109"/>
      <c r="C11" s="94">
        <v>2019</v>
      </c>
      <c r="D11" s="98">
        <v>0.48299999999999998</v>
      </c>
      <c r="E11" s="98">
        <v>30.694800000000001</v>
      </c>
      <c r="F11" s="98">
        <v>3.4006241073669979E-2</v>
      </c>
      <c r="G11" s="98">
        <v>0.52980000000000005</v>
      </c>
      <c r="H11" s="98">
        <v>7.8964416836084017E-2</v>
      </c>
      <c r="I11" s="100">
        <v>1</v>
      </c>
      <c r="J11" s="100">
        <v>0.8</v>
      </c>
      <c r="K11" s="99">
        <v>1.228740308065475E-4</v>
      </c>
      <c r="L11" s="98">
        <v>0.61109999999999998</v>
      </c>
    </row>
    <row r="12" spans="2:12" ht="13.8" customHeight="1" x14ac:dyDescent="0.25">
      <c r="B12" s="109"/>
      <c r="C12" s="94">
        <v>2020</v>
      </c>
      <c r="D12" s="98">
        <v>0.57820000000000005</v>
      </c>
      <c r="E12" s="98">
        <v>30.558700000000002</v>
      </c>
      <c r="F12" s="98">
        <v>4.798874891600035E-2</v>
      </c>
      <c r="G12" s="98">
        <v>0.435</v>
      </c>
      <c r="H12" s="98">
        <v>0.20912386551802831</v>
      </c>
      <c r="I12" s="100">
        <v>1</v>
      </c>
      <c r="J12" s="100">
        <v>1</v>
      </c>
      <c r="K12" s="99">
        <v>3.6005886543279968E-5</v>
      </c>
      <c r="L12" s="98">
        <v>0.61109999999999998</v>
      </c>
    </row>
    <row r="13" spans="2:12" ht="13.8" customHeight="1" x14ac:dyDescent="0.25">
      <c r="B13" s="109"/>
      <c r="C13" s="94">
        <v>2021</v>
      </c>
      <c r="D13" s="98">
        <v>0.57140000000000002</v>
      </c>
      <c r="E13" s="98">
        <v>30.788399999999999</v>
      </c>
      <c r="F13" s="98">
        <v>0.57876254936051941</v>
      </c>
      <c r="G13" s="98">
        <v>0.51939999999999997</v>
      </c>
      <c r="H13" s="98">
        <v>0.3163863354558405</v>
      </c>
      <c r="I13" s="100">
        <v>1</v>
      </c>
      <c r="J13" s="100">
        <v>1</v>
      </c>
      <c r="K13" s="99">
        <v>2.7735100329814241E-5</v>
      </c>
      <c r="L13" s="98">
        <v>0.77780000000000005</v>
      </c>
    </row>
    <row r="14" spans="2:12" ht="13.8" customHeight="1" thickBot="1" x14ac:dyDescent="0.3">
      <c r="B14" s="110"/>
      <c r="C14" s="94">
        <v>2022</v>
      </c>
      <c r="D14" s="98">
        <v>0.53059999999999996</v>
      </c>
      <c r="E14" s="98">
        <v>30.933800000000002</v>
      </c>
      <c r="F14" s="98">
        <v>0.55360358310569857</v>
      </c>
      <c r="G14" s="98">
        <v>0.5161</v>
      </c>
      <c r="H14" s="98">
        <v>0.23304064901136795</v>
      </c>
      <c r="I14" s="100">
        <v>1</v>
      </c>
      <c r="J14" s="100">
        <v>1</v>
      </c>
      <c r="K14" s="99">
        <v>9.5153644872857833E-5</v>
      </c>
      <c r="L14" s="98">
        <v>0.94440000000000002</v>
      </c>
    </row>
    <row r="15" spans="2:12" ht="13.8" customHeight="1" x14ac:dyDescent="0.25">
      <c r="B15" s="108" t="s">
        <v>60</v>
      </c>
      <c r="C15" s="94">
        <v>2018</v>
      </c>
      <c r="D15" s="98">
        <v>0.55779999999999996</v>
      </c>
      <c r="E15" s="98">
        <v>31.671500000000002</v>
      </c>
      <c r="F15" s="98">
        <v>4.0197130829174754E-2</v>
      </c>
      <c r="G15" s="98">
        <v>0.86509999999999998</v>
      </c>
      <c r="H15" s="98">
        <v>-9.4754316636590383E-2</v>
      </c>
      <c r="I15" s="100">
        <v>1</v>
      </c>
      <c r="J15" s="100">
        <v>0.8</v>
      </c>
      <c r="K15" s="99">
        <v>7.7237640240130617E-3</v>
      </c>
      <c r="L15" s="98">
        <v>0.72219999999999995</v>
      </c>
    </row>
    <row r="16" spans="2:12" x14ac:dyDescent="0.25">
      <c r="B16" s="109"/>
      <c r="C16" s="94">
        <v>2019</v>
      </c>
      <c r="D16" s="98">
        <v>0.53059999999999996</v>
      </c>
      <c r="E16" s="98">
        <v>31.577000000000002</v>
      </c>
      <c r="F16" s="98">
        <v>2.4368833298782319E-3</v>
      </c>
      <c r="G16" s="98">
        <v>0.86229999999999996</v>
      </c>
      <c r="H16" s="98">
        <v>-4.9716768481093798E-2</v>
      </c>
      <c r="I16" s="100">
        <v>0.66666666666666663</v>
      </c>
      <c r="J16" s="100">
        <v>0.8</v>
      </c>
      <c r="K16" s="99">
        <v>6.2833433333807443E-3</v>
      </c>
      <c r="L16" s="98">
        <v>0.83330000000000004</v>
      </c>
    </row>
    <row r="17" spans="2:12" ht="13.8" customHeight="1" x14ac:dyDescent="0.25">
      <c r="B17" s="109"/>
      <c r="C17" s="94">
        <v>2020</v>
      </c>
      <c r="D17" s="98">
        <v>0.53739999999999999</v>
      </c>
      <c r="E17" s="98">
        <v>31.514600000000002</v>
      </c>
      <c r="F17" s="98">
        <v>-9.5326426642669493E-2</v>
      </c>
      <c r="G17" s="98">
        <v>0.96130000000000004</v>
      </c>
      <c r="H17" s="98">
        <v>-1.3504260869862112E-2</v>
      </c>
      <c r="I17" s="100">
        <v>0.66666666666666663</v>
      </c>
      <c r="J17" s="100">
        <v>0.6</v>
      </c>
      <c r="K17" s="99">
        <v>2.572515832870258E-3</v>
      </c>
      <c r="L17" s="98">
        <v>0.61109999999999998</v>
      </c>
    </row>
    <row r="18" spans="2:12" ht="13.8" customHeight="1" x14ac:dyDescent="0.25">
      <c r="B18" s="109"/>
      <c r="C18" s="94">
        <v>2021</v>
      </c>
      <c r="D18" s="98">
        <v>0.51700000000000002</v>
      </c>
      <c r="E18" s="98">
        <v>31.7348</v>
      </c>
      <c r="F18" s="98">
        <v>5.8683910984077027E-2</v>
      </c>
      <c r="G18" s="98">
        <v>0.84699999999999998</v>
      </c>
      <c r="H18" s="98">
        <v>-2.5866101664630301E-2</v>
      </c>
      <c r="I18" s="100">
        <v>1</v>
      </c>
      <c r="J18" s="100">
        <v>1</v>
      </c>
      <c r="K18" s="99">
        <v>1.8561540790622097E-3</v>
      </c>
      <c r="L18" s="98">
        <v>0.5</v>
      </c>
    </row>
    <row r="19" spans="2:12" ht="13.8" customHeight="1" thickBot="1" x14ac:dyDescent="0.3">
      <c r="B19" s="110"/>
      <c r="C19" s="94">
        <v>2022</v>
      </c>
      <c r="D19" s="98">
        <v>0.61899999999999999</v>
      </c>
      <c r="E19" s="98">
        <v>31.893000000000001</v>
      </c>
      <c r="F19" s="98">
        <v>0.13382399741023257</v>
      </c>
      <c r="G19" s="98">
        <v>0.372</v>
      </c>
      <c r="H19" s="98">
        <v>-0.64334152883991991</v>
      </c>
      <c r="I19" s="100">
        <v>0.66666666666666663</v>
      </c>
      <c r="J19" s="100">
        <v>0.8</v>
      </c>
      <c r="K19" s="99">
        <v>0</v>
      </c>
      <c r="L19" s="98">
        <v>0.61109999999999998</v>
      </c>
    </row>
    <row r="20" spans="2:12" ht="13.8" customHeight="1" x14ac:dyDescent="0.25">
      <c r="B20" s="108" t="s">
        <v>81</v>
      </c>
      <c r="C20" s="94">
        <v>2018</v>
      </c>
      <c r="D20" s="98">
        <v>0.56459999999999999</v>
      </c>
      <c r="E20" s="98">
        <v>29.364000000000001</v>
      </c>
      <c r="F20" s="98">
        <v>5.2568056757277104E-2</v>
      </c>
      <c r="G20" s="98">
        <v>0.41670000000000001</v>
      </c>
      <c r="H20" s="98">
        <v>0.16285905130998282</v>
      </c>
      <c r="I20" s="100">
        <v>0.66666666666666663</v>
      </c>
      <c r="J20" s="100">
        <v>0.6</v>
      </c>
      <c r="K20" s="99">
        <v>1.7145906538547269E-3</v>
      </c>
      <c r="L20" s="98">
        <v>0.55559999999999998</v>
      </c>
    </row>
    <row r="21" spans="2:12" ht="13.8" customHeight="1" x14ac:dyDescent="0.25">
      <c r="B21" s="109"/>
      <c r="C21" s="94">
        <v>2019</v>
      </c>
      <c r="D21" s="98">
        <v>0.61219999999999997</v>
      </c>
      <c r="E21" s="98">
        <v>29.5487</v>
      </c>
      <c r="F21" s="98">
        <v>5.7208568133622163E-2</v>
      </c>
      <c r="G21" s="98">
        <v>0.47439999999999999</v>
      </c>
      <c r="H21" s="98">
        <v>0.22992011851449587</v>
      </c>
      <c r="I21" s="100">
        <v>1</v>
      </c>
      <c r="J21" s="100">
        <v>0.8</v>
      </c>
      <c r="K21" s="99">
        <v>1.3519397469844764E-3</v>
      </c>
      <c r="L21" s="98">
        <v>0.55559999999999998</v>
      </c>
    </row>
    <row r="22" spans="2:12" x14ac:dyDescent="0.25">
      <c r="B22" s="109"/>
      <c r="C22" s="94">
        <v>2020</v>
      </c>
      <c r="D22" s="98">
        <v>0.50339999999999996</v>
      </c>
      <c r="E22" s="98">
        <v>29.654299999999999</v>
      </c>
      <c r="F22" s="98">
        <v>3.4672528453961023E-2</v>
      </c>
      <c r="G22" s="98">
        <v>0.50539999999999996</v>
      </c>
      <c r="H22" s="98">
        <v>0.36067219824462488</v>
      </c>
      <c r="I22" s="100">
        <v>0.66666666666666663</v>
      </c>
      <c r="J22" s="100">
        <v>0.8</v>
      </c>
      <c r="K22" s="99">
        <v>1.0221052406099204E-3</v>
      </c>
      <c r="L22" s="98">
        <v>0.55559999999999998</v>
      </c>
    </row>
    <row r="23" spans="2:12" ht="13.8" customHeight="1" x14ac:dyDescent="0.25">
      <c r="B23" s="109"/>
      <c r="C23" s="94">
        <v>2021</v>
      </c>
      <c r="D23" s="98">
        <v>0.52380000000000004</v>
      </c>
      <c r="E23" s="98">
        <v>29.6099</v>
      </c>
      <c r="F23" s="98">
        <v>1.4712036934981493E-2</v>
      </c>
      <c r="G23" s="98">
        <v>0.4778</v>
      </c>
      <c r="H23" s="98">
        <v>0.39207546050068054</v>
      </c>
      <c r="I23" s="100">
        <v>1</v>
      </c>
      <c r="J23" s="100">
        <v>0.8</v>
      </c>
      <c r="K23" s="99">
        <v>1.1126688474976077E-3</v>
      </c>
      <c r="L23" s="98">
        <v>0.5</v>
      </c>
    </row>
    <row r="24" spans="2:12" ht="13.8" customHeight="1" thickBot="1" x14ac:dyDescent="0.3">
      <c r="B24" s="110"/>
      <c r="C24" s="94">
        <v>2022</v>
      </c>
      <c r="D24" s="98">
        <v>0.55779999999999996</v>
      </c>
      <c r="E24" s="98">
        <v>29.809899999999999</v>
      </c>
      <c r="F24" s="98">
        <v>4.7048630491322664E-2</v>
      </c>
      <c r="G24" s="98">
        <v>0.53400000000000003</v>
      </c>
      <c r="H24" s="98">
        <v>0.4137542149652822</v>
      </c>
      <c r="I24" s="100">
        <v>0.66666666666666663</v>
      </c>
      <c r="J24" s="100">
        <v>0.6</v>
      </c>
      <c r="K24" s="99">
        <v>6.2018388452176069E-4</v>
      </c>
      <c r="L24" s="98">
        <v>0.61109999999999998</v>
      </c>
    </row>
    <row r="25" spans="2:12" ht="13.8" customHeight="1" x14ac:dyDescent="0.25">
      <c r="B25" s="108" t="s">
        <v>98</v>
      </c>
      <c r="C25" s="94">
        <v>2018</v>
      </c>
      <c r="D25" s="98">
        <v>0.55779999999999996</v>
      </c>
      <c r="E25" s="98">
        <v>29.654499999999999</v>
      </c>
      <c r="F25" s="98">
        <v>4.5882716440613515E-2</v>
      </c>
      <c r="G25" s="98">
        <v>0.70109999999999995</v>
      </c>
      <c r="H25" s="98">
        <v>0.51058405020829956</v>
      </c>
      <c r="I25" s="100">
        <v>0.66666666666666663</v>
      </c>
      <c r="J25" s="100">
        <v>0.4</v>
      </c>
      <c r="K25" s="99">
        <v>1.1158805505341544E-3</v>
      </c>
      <c r="L25" s="98">
        <v>0.72219999999999995</v>
      </c>
    </row>
    <row r="26" spans="2:12" ht="13.8" customHeight="1" x14ac:dyDescent="0.25">
      <c r="B26" s="109"/>
      <c r="C26" s="94">
        <v>2019</v>
      </c>
      <c r="D26" s="98">
        <v>0.48980000000000001</v>
      </c>
      <c r="E26" s="98">
        <v>29.672000000000001</v>
      </c>
      <c r="F26" s="98">
        <v>5.7340751297185535E-2</v>
      </c>
      <c r="G26" s="98">
        <v>0.61429999999999996</v>
      </c>
      <c r="H26" s="98">
        <v>0.6272541947624275</v>
      </c>
      <c r="I26" s="100">
        <v>1</v>
      </c>
      <c r="J26" s="100">
        <v>0.6</v>
      </c>
      <c r="K26" s="99">
        <v>8.3360312425142093E-4</v>
      </c>
      <c r="L26" s="98">
        <v>0.5</v>
      </c>
    </row>
    <row r="27" spans="2:12" ht="13.8" customHeight="1" x14ac:dyDescent="0.25">
      <c r="B27" s="109"/>
      <c r="C27" s="94">
        <v>2020</v>
      </c>
      <c r="D27" s="98">
        <v>0.54420000000000002</v>
      </c>
      <c r="E27" s="98">
        <v>29.646999999999998</v>
      </c>
      <c r="F27" s="98">
        <v>6.058748738052086E-2</v>
      </c>
      <c r="G27" s="98">
        <v>0.56310000000000004</v>
      </c>
      <c r="H27" s="98">
        <v>0.79262859756007609</v>
      </c>
      <c r="I27" s="100">
        <v>0.66666666666666663</v>
      </c>
      <c r="J27" s="100">
        <v>0.4</v>
      </c>
      <c r="K27" s="99">
        <v>6.9265114558003953E-4</v>
      </c>
      <c r="L27" s="98">
        <v>0.33329999999999999</v>
      </c>
    </row>
    <row r="28" spans="2:12" x14ac:dyDescent="0.25">
      <c r="B28" s="109"/>
      <c r="C28" s="94">
        <v>2021</v>
      </c>
      <c r="D28" s="98">
        <v>0.44900000000000001</v>
      </c>
      <c r="E28" s="98">
        <v>29.664300000000001</v>
      </c>
      <c r="F28" s="98">
        <v>7.8259689330574922E-2</v>
      </c>
      <c r="G28" s="98">
        <v>0.51149999999999995</v>
      </c>
      <c r="H28" s="98">
        <v>0.70733485084747783</v>
      </c>
      <c r="I28" s="100">
        <v>1</v>
      </c>
      <c r="J28" s="100">
        <v>0.8</v>
      </c>
      <c r="K28" s="99">
        <v>4.4830460115329171E-4</v>
      </c>
      <c r="L28" s="98">
        <v>0.66669999999999996</v>
      </c>
    </row>
    <row r="29" spans="2:12" ht="13.8" customHeight="1" thickBot="1" x14ac:dyDescent="0.3">
      <c r="B29" s="110"/>
      <c r="C29" s="94">
        <v>2022</v>
      </c>
      <c r="D29" s="98">
        <v>0.54420000000000002</v>
      </c>
      <c r="E29" s="98">
        <v>29.8748</v>
      </c>
      <c r="F29" s="98">
        <v>9.2909460727100879E-2</v>
      </c>
      <c r="G29" s="98">
        <v>0.50039999999999996</v>
      </c>
      <c r="H29" s="98">
        <v>0.53753880955492372</v>
      </c>
      <c r="I29" s="100">
        <v>0.66666666666666663</v>
      </c>
      <c r="J29" s="100">
        <v>0.6</v>
      </c>
      <c r="K29" s="99">
        <v>5.7774722510982193E-4</v>
      </c>
      <c r="L29" s="98">
        <v>0.55559999999999998</v>
      </c>
    </row>
    <row r="30" spans="2:12" ht="13.8" customHeight="1" x14ac:dyDescent="0.25">
      <c r="B30" s="108" t="s">
        <v>114</v>
      </c>
      <c r="C30" s="94">
        <v>2018</v>
      </c>
      <c r="D30" s="98">
        <v>0.60540000000000005</v>
      </c>
      <c r="E30" s="98">
        <v>30.608799999999999</v>
      </c>
      <c r="F30" s="98">
        <v>0.1847339411028307</v>
      </c>
      <c r="G30" s="98">
        <v>0.35039999999999999</v>
      </c>
      <c r="H30" s="98">
        <v>0.9102275729231053</v>
      </c>
      <c r="I30" s="100">
        <v>1</v>
      </c>
      <c r="J30" s="100">
        <v>0.8</v>
      </c>
      <c r="K30" s="99">
        <v>8.067638054382821E-4</v>
      </c>
      <c r="L30" s="98">
        <v>0.72219999999999995</v>
      </c>
    </row>
    <row r="31" spans="2:12" ht="13.8" customHeight="1" x14ac:dyDescent="0.25">
      <c r="B31" s="109"/>
      <c r="C31" s="94">
        <v>2019</v>
      </c>
      <c r="D31" s="98">
        <v>0.62590000000000001</v>
      </c>
      <c r="E31" s="98">
        <v>30.457799999999999</v>
      </c>
      <c r="F31" s="98">
        <v>9.6743273250558204E-2</v>
      </c>
      <c r="G31" s="98">
        <v>0.193</v>
      </c>
      <c r="H31" s="98">
        <v>0.38345735742944342</v>
      </c>
      <c r="I31" s="100">
        <v>1</v>
      </c>
      <c r="J31" s="100">
        <v>1</v>
      </c>
      <c r="K31" s="99">
        <v>9.4455026752608055E-4</v>
      </c>
      <c r="L31" s="98">
        <v>0.77780000000000005</v>
      </c>
    </row>
    <row r="32" spans="2:12" ht="13.8" customHeight="1" x14ac:dyDescent="0.25">
      <c r="B32" s="109"/>
      <c r="C32" s="94">
        <v>2020</v>
      </c>
      <c r="D32" s="98">
        <v>0.59860000000000002</v>
      </c>
      <c r="E32" s="98">
        <v>30.4297</v>
      </c>
      <c r="F32" s="98">
        <v>3.2191511739140366E-2</v>
      </c>
      <c r="G32" s="98">
        <v>0.1789</v>
      </c>
      <c r="H32" s="98">
        <v>0.83329956584659914</v>
      </c>
      <c r="I32" s="100">
        <v>1</v>
      </c>
      <c r="J32" s="100">
        <v>1</v>
      </c>
      <c r="K32" s="99">
        <v>6.1073303015892063E-4</v>
      </c>
      <c r="L32" s="98">
        <v>0.61109999999999998</v>
      </c>
    </row>
    <row r="33" spans="2:12" ht="13.8" customHeight="1" x14ac:dyDescent="0.25">
      <c r="B33" s="109"/>
      <c r="C33" s="94">
        <v>2021</v>
      </c>
      <c r="D33" s="98">
        <v>0.52380000000000004</v>
      </c>
      <c r="E33" s="98">
        <v>30.804600000000001</v>
      </c>
      <c r="F33" s="98">
        <v>0.33817096159650661</v>
      </c>
      <c r="G33" s="98">
        <v>0.27889999999999998</v>
      </c>
      <c r="H33" s="98">
        <v>1.6935677997932792</v>
      </c>
      <c r="I33" s="100">
        <v>1</v>
      </c>
      <c r="J33" s="100">
        <v>0.8</v>
      </c>
      <c r="K33" s="99">
        <v>1.979463930444552E-4</v>
      </c>
      <c r="L33" s="98">
        <v>0.66669999999999996</v>
      </c>
    </row>
    <row r="34" spans="2:12" ht="13.8" thickBot="1" x14ac:dyDescent="0.3">
      <c r="B34" s="110"/>
      <c r="C34" s="94">
        <v>2022</v>
      </c>
      <c r="D34" s="98">
        <v>0.46939999999999998</v>
      </c>
      <c r="E34" s="98">
        <v>31.362400000000001</v>
      </c>
      <c r="F34" s="98">
        <v>0.57777676123146637</v>
      </c>
      <c r="G34" s="98">
        <v>0.26129999999999998</v>
      </c>
      <c r="H34" s="98">
        <v>2.2633923768768796</v>
      </c>
      <c r="I34" s="100">
        <v>1</v>
      </c>
      <c r="J34" s="100">
        <v>0.6</v>
      </c>
      <c r="K34" s="99">
        <v>4.1171482063513166E-4</v>
      </c>
      <c r="L34" s="98">
        <v>0.55559999999999998</v>
      </c>
    </row>
    <row r="35" spans="2:12" ht="13.8" customHeight="1" x14ac:dyDescent="0.25">
      <c r="B35" s="108" t="s">
        <v>129</v>
      </c>
      <c r="C35" s="94">
        <v>2018</v>
      </c>
      <c r="D35" s="98">
        <v>0.52380000000000004</v>
      </c>
      <c r="E35" s="98">
        <v>28.8139</v>
      </c>
      <c r="F35" s="98">
        <v>-6.981429393178995E-2</v>
      </c>
      <c r="G35" s="98">
        <v>0.30459999999999998</v>
      </c>
      <c r="H35" s="98">
        <v>1.3203385691236169</v>
      </c>
      <c r="I35" s="100">
        <v>0.66666666666666663</v>
      </c>
      <c r="J35" s="100">
        <v>0.6</v>
      </c>
      <c r="K35" s="99">
        <v>6.6061355659718674E-4</v>
      </c>
      <c r="L35" s="98">
        <v>0.61109999999999998</v>
      </c>
    </row>
    <row r="36" spans="2:12" ht="13.8" customHeight="1" x14ac:dyDescent="0.25">
      <c r="B36" s="109"/>
      <c r="C36" s="94">
        <v>2019</v>
      </c>
      <c r="D36" s="98">
        <v>0.53739999999999999</v>
      </c>
      <c r="E36" s="98">
        <v>28.7453</v>
      </c>
      <c r="F36" s="98">
        <v>7.8986206633399302E-3</v>
      </c>
      <c r="G36" s="98">
        <v>0.21199999999999999</v>
      </c>
      <c r="H36" s="98">
        <v>1.5625731932239662</v>
      </c>
      <c r="I36" s="100">
        <v>0.66666666666666663</v>
      </c>
      <c r="J36" s="100">
        <v>0.6</v>
      </c>
      <c r="K36" s="99">
        <v>1.3523708642837159E-4</v>
      </c>
      <c r="L36" s="98">
        <v>0.38890000000000002</v>
      </c>
    </row>
    <row r="37" spans="2:12" ht="13.8" customHeight="1" x14ac:dyDescent="0.25">
      <c r="B37" s="109"/>
      <c r="C37" s="94">
        <v>2020</v>
      </c>
      <c r="D37" s="98">
        <v>0.48980000000000001</v>
      </c>
      <c r="E37" s="98">
        <v>28.646999999999998</v>
      </c>
      <c r="F37" s="98">
        <v>7.2523747229654323E-2</v>
      </c>
      <c r="G37" s="98">
        <v>0.1953</v>
      </c>
      <c r="H37" s="98">
        <v>0.67072031511691121</v>
      </c>
      <c r="I37" s="100">
        <v>0.66666666666666663</v>
      </c>
      <c r="J37" s="100">
        <v>0.4</v>
      </c>
      <c r="K37" s="99">
        <v>1.3137700654000897E-4</v>
      </c>
      <c r="L37" s="98">
        <v>0.44440000000000002</v>
      </c>
    </row>
    <row r="38" spans="2:12" ht="13.8" customHeight="1" x14ac:dyDescent="0.25">
      <c r="B38" s="109"/>
      <c r="C38" s="94">
        <v>2021</v>
      </c>
      <c r="D38" s="98">
        <v>0.45579999999999998</v>
      </c>
      <c r="E38" s="98">
        <v>28.566099999999999</v>
      </c>
      <c r="F38" s="98">
        <v>6.5192324649026107E-2</v>
      </c>
      <c r="G38" s="98">
        <v>4.8000000000000001E-2</v>
      </c>
      <c r="H38" s="98">
        <v>3.9498721014175251</v>
      </c>
      <c r="I38" s="100">
        <v>1</v>
      </c>
      <c r="J38" s="100">
        <v>0.8</v>
      </c>
      <c r="K38" s="99">
        <v>1.638152999943678E-4</v>
      </c>
      <c r="L38" s="98">
        <v>0.66669999999999996</v>
      </c>
    </row>
    <row r="39" spans="2:12" ht="13.8" customHeight="1" thickBot="1" x14ac:dyDescent="0.3">
      <c r="B39" s="110"/>
      <c r="C39" s="94">
        <v>2022</v>
      </c>
      <c r="D39" s="98">
        <v>0.53739999999999999</v>
      </c>
      <c r="E39" s="98">
        <v>28.835699999999999</v>
      </c>
      <c r="F39" s="98">
        <v>0.13166942504055312</v>
      </c>
      <c r="G39" s="98">
        <v>0.1179</v>
      </c>
      <c r="H39" s="98">
        <v>2.933092667775627</v>
      </c>
      <c r="I39" s="100">
        <v>0.66666666666666663</v>
      </c>
      <c r="J39" s="100">
        <v>0.6</v>
      </c>
      <c r="K39" s="99">
        <v>1.4265817160794131E-4</v>
      </c>
      <c r="L39" s="98">
        <v>0.55559999999999998</v>
      </c>
    </row>
    <row r="40" spans="2:12" x14ac:dyDescent="0.25">
      <c r="B40" s="108" t="s">
        <v>140</v>
      </c>
      <c r="C40" s="94">
        <v>2018</v>
      </c>
      <c r="D40" s="98">
        <v>0.51700000000000002</v>
      </c>
      <c r="E40" s="98">
        <v>31.967500000000001</v>
      </c>
      <c r="F40" s="98">
        <v>-5.6290478656947493E-3</v>
      </c>
      <c r="G40" s="98">
        <v>0.7359</v>
      </c>
      <c r="H40" s="98">
        <v>0.32824603984976203</v>
      </c>
      <c r="I40" s="100">
        <v>0.66666666666666663</v>
      </c>
      <c r="J40" s="100">
        <v>0.8</v>
      </c>
      <c r="K40" s="99">
        <v>4.8556451083703653E-4</v>
      </c>
      <c r="L40" s="98">
        <v>0.55559999999999998</v>
      </c>
    </row>
    <row r="41" spans="2:12" ht="13.8" customHeight="1" x14ac:dyDescent="0.25">
      <c r="B41" s="109"/>
      <c r="C41" s="94">
        <v>2019</v>
      </c>
      <c r="D41" s="98">
        <v>0.46939999999999998</v>
      </c>
      <c r="E41" s="98">
        <v>32.0593</v>
      </c>
      <c r="F41" s="98">
        <v>-4.3509797402493259E-3</v>
      </c>
      <c r="G41" s="98">
        <v>0.77580000000000005</v>
      </c>
      <c r="H41" s="98">
        <v>0.55022321163782062</v>
      </c>
      <c r="I41" s="100">
        <v>0.66666666666666663</v>
      </c>
      <c r="J41" s="100">
        <v>0.6</v>
      </c>
      <c r="K41" s="99">
        <v>3.4469977937248307E-4</v>
      </c>
      <c r="L41" s="98">
        <v>0.55559999999999998</v>
      </c>
    </row>
    <row r="42" spans="2:12" ht="13.8" customHeight="1" x14ac:dyDescent="0.25">
      <c r="B42" s="109"/>
      <c r="C42" s="94">
        <v>2020</v>
      </c>
      <c r="D42" s="98">
        <v>0.51700000000000002</v>
      </c>
      <c r="E42" s="98">
        <v>32.057600000000001</v>
      </c>
      <c r="F42" s="98">
        <v>-3.0021906313790307E-2</v>
      </c>
      <c r="G42" s="98">
        <v>0.7944</v>
      </c>
      <c r="H42" s="98">
        <v>0.33376056536044435</v>
      </c>
      <c r="I42" s="100">
        <v>0.66666666666666663</v>
      </c>
      <c r="J42" s="100">
        <v>0.6</v>
      </c>
      <c r="K42" s="99">
        <v>2.4469858035250949E-4</v>
      </c>
      <c r="L42" s="98">
        <v>0.61109999999999998</v>
      </c>
    </row>
    <row r="43" spans="2:12" ht="13.8" customHeight="1" x14ac:dyDescent="0.25">
      <c r="B43" s="109"/>
      <c r="C43" s="94">
        <v>2021</v>
      </c>
      <c r="D43" s="98">
        <v>0.43540000000000001</v>
      </c>
      <c r="E43" s="98">
        <v>32.031700000000001</v>
      </c>
      <c r="F43" s="98">
        <v>1.0871195715263973E-2</v>
      </c>
      <c r="G43" s="98">
        <v>0.78369999999999995</v>
      </c>
      <c r="H43" s="98">
        <v>0.43697633439338862</v>
      </c>
      <c r="I43" s="100">
        <v>0.66666666666666663</v>
      </c>
      <c r="J43" s="100">
        <v>0.6</v>
      </c>
      <c r="K43" s="99">
        <v>1.9424041254194891E-4</v>
      </c>
      <c r="L43" s="98">
        <v>0.61109999999999998</v>
      </c>
    </row>
    <row r="44" spans="2:12" ht="13.8" customHeight="1" thickBot="1" x14ac:dyDescent="0.3">
      <c r="B44" s="110"/>
      <c r="C44" s="94">
        <v>2022</v>
      </c>
      <c r="D44" s="98">
        <v>0.60540000000000005</v>
      </c>
      <c r="E44" s="98">
        <v>32.3277</v>
      </c>
      <c r="F44" s="98">
        <v>9.1235449636519514E-2</v>
      </c>
      <c r="G44" s="98">
        <v>0.74790000000000001</v>
      </c>
      <c r="H44" s="98">
        <v>0.80941498652117383</v>
      </c>
      <c r="I44" s="100">
        <v>0.66666666666666663</v>
      </c>
      <c r="J44" s="100">
        <v>0.4</v>
      </c>
      <c r="K44" s="99">
        <v>2.3647147568735594E-4</v>
      </c>
      <c r="L44" s="98">
        <v>0.61109999999999998</v>
      </c>
    </row>
    <row r="45" spans="2:12" ht="13.8" customHeight="1" x14ac:dyDescent="0.25">
      <c r="B45" s="108" t="s">
        <v>150</v>
      </c>
      <c r="C45" s="94">
        <v>2018</v>
      </c>
      <c r="D45" s="98">
        <v>0.55100000000000005</v>
      </c>
      <c r="E45" s="98">
        <v>32.380600000000001</v>
      </c>
      <c r="F45" s="98">
        <v>4.6761805870997146E-2</v>
      </c>
      <c r="G45" s="98">
        <v>0.59670000000000001</v>
      </c>
      <c r="H45" s="98">
        <v>0.57273747440242984</v>
      </c>
      <c r="I45" s="100">
        <v>0.66666666666666663</v>
      </c>
      <c r="J45" s="100">
        <v>0.6</v>
      </c>
      <c r="K45" s="99">
        <v>3.7296575362942162E-4</v>
      </c>
      <c r="L45" s="98">
        <v>0.5</v>
      </c>
    </row>
    <row r="46" spans="2:12" x14ac:dyDescent="0.25">
      <c r="B46" s="109"/>
      <c r="C46" s="94">
        <v>2019</v>
      </c>
      <c r="D46" s="98">
        <v>0.55779999999999996</v>
      </c>
      <c r="E46" s="98">
        <v>32.265900000000002</v>
      </c>
      <c r="F46" s="98">
        <v>1.4443742508241771E-2</v>
      </c>
      <c r="G46" s="98">
        <v>0.56140000000000001</v>
      </c>
      <c r="H46" s="98">
        <v>0.7280756451056547</v>
      </c>
      <c r="I46" s="100">
        <v>0.66666666666666663</v>
      </c>
      <c r="J46" s="100">
        <v>0.6</v>
      </c>
      <c r="K46" s="99">
        <v>6.5487480972469773E-4</v>
      </c>
      <c r="L46" s="98">
        <v>0.61109999999999998</v>
      </c>
    </row>
    <row r="47" spans="2:12" ht="13.8" customHeight="1" x14ac:dyDescent="0.25">
      <c r="B47" s="109"/>
      <c r="C47" s="94">
        <v>2020</v>
      </c>
      <c r="D47" s="98">
        <v>0.52380000000000004</v>
      </c>
      <c r="E47" s="98">
        <v>32.301900000000003</v>
      </c>
      <c r="F47" s="98">
        <v>-2.9155723905640779E-2</v>
      </c>
      <c r="G47" s="98">
        <v>0.60770000000000002</v>
      </c>
      <c r="H47" s="98">
        <v>0.352341419013809</v>
      </c>
      <c r="I47" s="100">
        <v>1</v>
      </c>
      <c r="J47" s="100">
        <v>0.8</v>
      </c>
      <c r="K47" s="99">
        <v>1.4121674027790701E-4</v>
      </c>
      <c r="L47" s="98">
        <v>0.61109999999999998</v>
      </c>
    </row>
    <row r="48" spans="2:12" ht="13.8" customHeight="1" x14ac:dyDescent="0.25">
      <c r="B48" s="109"/>
      <c r="C48" s="94">
        <v>2021</v>
      </c>
      <c r="D48" s="98">
        <v>0.58499999999999996</v>
      </c>
      <c r="E48" s="98">
        <v>32.310400000000001</v>
      </c>
      <c r="F48" s="98">
        <v>4.8740220813423531E-2</v>
      </c>
      <c r="G48" s="98">
        <v>0.56259999999999999</v>
      </c>
      <c r="H48" s="98">
        <v>0.67333898321021324</v>
      </c>
      <c r="I48" s="100">
        <v>1</v>
      </c>
      <c r="J48" s="100">
        <v>1</v>
      </c>
      <c r="K48" s="99">
        <v>2.8470583782437775E-4</v>
      </c>
      <c r="L48" s="98">
        <v>0.77780000000000005</v>
      </c>
    </row>
    <row r="49" spans="2:12" ht="13.8" customHeight="1" thickBot="1" x14ac:dyDescent="0.3">
      <c r="B49" s="110"/>
      <c r="C49" s="94">
        <v>2022</v>
      </c>
      <c r="D49" s="98">
        <v>0.53059999999999996</v>
      </c>
      <c r="E49" s="98">
        <v>32.365000000000002</v>
      </c>
      <c r="F49" s="98">
        <v>5.7302402433641902E-2</v>
      </c>
      <c r="G49" s="98">
        <v>0.52159999999999995</v>
      </c>
      <c r="H49" s="98">
        <v>0.97695909327061536</v>
      </c>
      <c r="I49" s="100">
        <v>1</v>
      </c>
      <c r="J49" s="100">
        <v>0.8</v>
      </c>
      <c r="K49" s="99">
        <v>4.4009084373033459E-4</v>
      </c>
      <c r="L49" s="98">
        <v>0.55559999999999998</v>
      </c>
    </row>
    <row r="50" spans="2:12" ht="13.8" customHeight="1" x14ac:dyDescent="0.25">
      <c r="B50" s="108" t="s">
        <v>156</v>
      </c>
      <c r="C50" s="94">
        <v>2018</v>
      </c>
      <c r="D50" s="98">
        <v>0.57820000000000005</v>
      </c>
      <c r="E50" s="98">
        <v>28.102599999999999</v>
      </c>
      <c r="F50" s="98">
        <v>0.13646708243666339</v>
      </c>
      <c r="G50" s="98">
        <v>0.34860000000000002</v>
      </c>
      <c r="H50" s="98">
        <v>1.1341567620294886</v>
      </c>
      <c r="I50" s="100">
        <v>1</v>
      </c>
      <c r="J50" s="100">
        <v>0.6</v>
      </c>
      <c r="K50" s="99">
        <v>1.0368931612447466E-2</v>
      </c>
      <c r="L50" s="98">
        <v>0.55559999999999998</v>
      </c>
    </row>
    <row r="51" spans="2:12" ht="13.8" customHeight="1" x14ac:dyDescent="0.25">
      <c r="B51" s="109"/>
      <c r="C51" s="94">
        <v>2019</v>
      </c>
      <c r="D51" s="98">
        <v>0.46260000000000001</v>
      </c>
      <c r="E51" s="98">
        <v>28.324400000000001</v>
      </c>
      <c r="F51" s="98">
        <v>0.10304913280475982</v>
      </c>
      <c r="G51" s="98">
        <v>0.38150000000000001</v>
      </c>
      <c r="H51" s="98">
        <v>0.66974467435329987</v>
      </c>
      <c r="I51" s="100">
        <v>1</v>
      </c>
      <c r="J51" s="100">
        <v>0.8</v>
      </c>
      <c r="K51" s="99">
        <v>2.4049408383254875E-3</v>
      </c>
      <c r="L51" s="98">
        <v>0.61109999999999998</v>
      </c>
    </row>
    <row r="52" spans="2:12" x14ac:dyDescent="0.25">
      <c r="B52" s="109"/>
      <c r="C52" s="94">
        <v>2020</v>
      </c>
      <c r="D52" s="98">
        <v>0.47620000000000001</v>
      </c>
      <c r="E52" s="98">
        <v>28.364100000000001</v>
      </c>
      <c r="F52" s="98">
        <v>5.8550619557886291E-2</v>
      </c>
      <c r="G52" s="98">
        <v>0.35620000000000002</v>
      </c>
      <c r="H52" s="98">
        <v>0.99571138254864444</v>
      </c>
      <c r="I52" s="100">
        <v>0.66666666666666663</v>
      </c>
      <c r="J52" s="100">
        <v>0.6</v>
      </c>
      <c r="K52" s="99">
        <v>3.8725408916197349E-3</v>
      </c>
      <c r="L52" s="98">
        <v>0.61109999999999998</v>
      </c>
    </row>
    <row r="53" spans="2:12" ht="13.8" customHeight="1" x14ac:dyDescent="0.25">
      <c r="B53" s="109"/>
      <c r="C53" s="94">
        <v>2021</v>
      </c>
      <c r="D53" s="98">
        <v>0.51019999999999999</v>
      </c>
      <c r="E53" s="98">
        <v>28.469200000000001</v>
      </c>
      <c r="F53" s="98">
        <v>0.16346759551651233</v>
      </c>
      <c r="G53" s="98">
        <v>0.28889999999999999</v>
      </c>
      <c r="H53" s="98">
        <v>1.1172916771506816</v>
      </c>
      <c r="I53" s="100">
        <v>1</v>
      </c>
      <c r="J53" s="100">
        <v>0.8</v>
      </c>
      <c r="K53" s="99">
        <v>6.4453287925815648E-3</v>
      </c>
      <c r="L53" s="98">
        <v>0.72219999999999995</v>
      </c>
    </row>
    <row r="54" spans="2:12" ht="13.8" customHeight="1" thickBot="1" x14ac:dyDescent="0.3">
      <c r="B54" s="110"/>
      <c r="C54" s="94">
        <v>2022</v>
      </c>
      <c r="D54" s="98">
        <v>0.55779999999999996</v>
      </c>
      <c r="E54" s="98">
        <v>28.673200000000001</v>
      </c>
      <c r="F54" s="98">
        <v>0.2600199647317315</v>
      </c>
      <c r="G54" s="98">
        <v>0.1867</v>
      </c>
      <c r="H54" s="98">
        <v>1.8090023075553556</v>
      </c>
      <c r="I54" s="100">
        <v>0.66666666666666663</v>
      </c>
      <c r="J54" s="100">
        <v>0.6</v>
      </c>
      <c r="K54" s="99">
        <v>6.2477960192422769E-4</v>
      </c>
      <c r="L54" s="98">
        <v>0.5</v>
      </c>
    </row>
    <row r="55" spans="2:12" ht="13.8" customHeight="1" x14ac:dyDescent="0.25">
      <c r="B55" s="108" t="s">
        <v>162</v>
      </c>
      <c r="C55" s="94">
        <v>2018</v>
      </c>
      <c r="D55" s="98">
        <v>0.52380000000000004</v>
      </c>
      <c r="E55" s="98">
        <v>30.816299999999998</v>
      </c>
      <c r="F55" s="98">
        <v>0.22188327379639025</v>
      </c>
      <c r="G55" s="98">
        <v>0.32690000000000002</v>
      </c>
      <c r="H55" s="98">
        <v>1.5940580619227764</v>
      </c>
      <c r="I55" s="100">
        <v>0.66666666666666663</v>
      </c>
      <c r="J55" s="100">
        <v>0.6</v>
      </c>
      <c r="K55" s="99">
        <v>9.3936089555206228E-4</v>
      </c>
      <c r="L55" s="98">
        <v>0.5</v>
      </c>
    </row>
    <row r="56" spans="2:12" ht="13.8" customHeight="1" x14ac:dyDescent="0.25">
      <c r="B56" s="109"/>
      <c r="C56" s="94">
        <v>2019</v>
      </c>
      <c r="D56" s="98">
        <v>0.45579999999999998</v>
      </c>
      <c r="E56" s="98">
        <v>30.892900000000001</v>
      </c>
      <c r="F56" s="98">
        <v>0.1607445726396648</v>
      </c>
      <c r="G56" s="98">
        <v>0.29409999999999997</v>
      </c>
      <c r="H56" s="98">
        <v>0.91584931183601137</v>
      </c>
      <c r="I56" s="100">
        <v>1</v>
      </c>
      <c r="J56" s="100">
        <v>1</v>
      </c>
      <c r="K56" s="99">
        <v>9.7770631693124064E-4</v>
      </c>
      <c r="L56" s="98">
        <v>0.61109999999999998</v>
      </c>
    </row>
    <row r="57" spans="2:12" ht="13.8" customHeight="1" x14ac:dyDescent="0.25">
      <c r="B57" s="109"/>
      <c r="C57" s="94">
        <v>2020</v>
      </c>
      <c r="D57" s="98">
        <v>0.53739999999999999</v>
      </c>
      <c r="E57" s="98">
        <v>30.811399999999999</v>
      </c>
      <c r="F57" s="98">
        <v>9.601978928958893E-2</v>
      </c>
      <c r="G57" s="98">
        <v>0.2959</v>
      </c>
      <c r="H57" s="98">
        <v>0.90733815766062731</v>
      </c>
      <c r="I57" s="100">
        <v>1</v>
      </c>
      <c r="J57" s="100">
        <v>0.8</v>
      </c>
      <c r="K57" s="99">
        <v>9.4698566053484764E-4</v>
      </c>
      <c r="L57" s="98">
        <v>0.72219999999999995</v>
      </c>
    </row>
    <row r="58" spans="2:12" x14ac:dyDescent="0.25">
      <c r="B58" s="109"/>
      <c r="C58" s="94">
        <v>2021</v>
      </c>
      <c r="D58" s="98">
        <v>0.54420000000000002</v>
      </c>
      <c r="E58" s="98">
        <v>31.218</v>
      </c>
      <c r="F58" s="98">
        <v>0.26709294901012554</v>
      </c>
      <c r="G58" s="98">
        <v>0.3286</v>
      </c>
      <c r="H58" s="98">
        <v>1.4392191766923574</v>
      </c>
      <c r="I58" s="100">
        <v>1</v>
      </c>
      <c r="J58" s="100">
        <v>0.6</v>
      </c>
      <c r="K58" s="99">
        <v>6.8376157339129935E-4</v>
      </c>
      <c r="L58" s="98">
        <v>0.5</v>
      </c>
    </row>
    <row r="59" spans="2:12" ht="13.8" customHeight="1" thickBot="1" x14ac:dyDescent="0.3">
      <c r="B59" s="110"/>
      <c r="C59" s="94">
        <v>2022</v>
      </c>
      <c r="D59" s="98">
        <v>0.50339999999999996</v>
      </c>
      <c r="E59" s="98">
        <v>31.445599999999999</v>
      </c>
      <c r="F59" s="98">
        <v>0.31367134531645963</v>
      </c>
      <c r="G59" s="98">
        <v>0.36249999999999999</v>
      </c>
      <c r="H59" s="98">
        <v>1.1705939572669219</v>
      </c>
      <c r="I59" s="100">
        <v>0.66666666666666663</v>
      </c>
      <c r="J59" s="100">
        <v>0.6</v>
      </c>
      <c r="K59" s="99">
        <v>5.4615499371494743E-4</v>
      </c>
      <c r="L59" s="98">
        <v>0.44440000000000002</v>
      </c>
    </row>
    <row r="60" spans="2:12" ht="13.8" customHeight="1" x14ac:dyDescent="0.25">
      <c r="B60" s="108" t="s">
        <v>168</v>
      </c>
      <c r="C60" s="94">
        <v>2018</v>
      </c>
      <c r="D60" s="98">
        <v>0.48299999999999998</v>
      </c>
      <c r="E60" s="98">
        <v>33.473700000000001</v>
      </c>
      <c r="F60" s="98">
        <v>8.5465255151504743E-2</v>
      </c>
      <c r="G60" s="98">
        <v>0.49419999999999997</v>
      </c>
      <c r="H60" s="98">
        <v>0.23776692110211475</v>
      </c>
      <c r="I60" s="100">
        <v>1</v>
      </c>
      <c r="J60" s="100">
        <v>0.6</v>
      </c>
      <c r="K60" s="99">
        <v>3.5014838516902566E-3</v>
      </c>
      <c r="L60" s="98">
        <v>0.66669999999999996</v>
      </c>
    </row>
    <row r="61" spans="2:12" ht="13.8" customHeight="1" x14ac:dyDescent="0.25">
      <c r="B61" s="109"/>
      <c r="C61" s="94">
        <v>2019</v>
      </c>
      <c r="D61" s="98">
        <v>0.53059999999999996</v>
      </c>
      <c r="E61" s="98">
        <v>32.101199999999999</v>
      </c>
      <c r="F61" s="98">
        <v>0.1266967069131911</v>
      </c>
      <c r="G61" s="98">
        <v>0.16270000000000001</v>
      </c>
      <c r="H61" s="98">
        <v>0.38724658390640349</v>
      </c>
      <c r="I61" s="100">
        <v>1</v>
      </c>
      <c r="J61" s="100">
        <v>0.8</v>
      </c>
      <c r="K61" s="99">
        <v>1.0265976927302693E-2</v>
      </c>
      <c r="L61" s="98">
        <v>0.66669999999999996</v>
      </c>
    </row>
    <row r="62" spans="2:12" ht="13.8" customHeight="1" x14ac:dyDescent="0.25">
      <c r="B62" s="109"/>
      <c r="C62" s="94">
        <v>2020</v>
      </c>
      <c r="D62" s="98">
        <v>0.53739999999999999</v>
      </c>
      <c r="E62" s="98">
        <v>32.151899999999998</v>
      </c>
      <c r="F62" s="98">
        <v>0.10650603753590451</v>
      </c>
      <c r="G62" s="98">
        <v>0.1578</v>
      </c>
      <c r="H62" s="98">
        <v>0.25826961770623741</v>
      </c>
      <c r="I62" s="100">
        <v>1</v>
      </c>
      <c r="J62" s="100">
        <v>1</v>
      </c>
      <c r="K62" s="99">
        <v>1.2989697451016656E-2</v>
      </c>
      <c r="L62" s="98">
        <v>0.77780000000000005</v>
      </c>
    </row>
    <row r="63" spans="2:12" ht="13.8" customHeight="1" x14ac:dyDescent="0.25">
      <c r="B63" s="109"/>
      <c r="C63" s="94">
        <v>2021</v>
      </c>
      <c r="D63" s="98">
        <v>0.53739999999999999</v>
      </c>
      <c r="E63" s="98">
        <v>33.537199999999999</v>
      </c>
      <c r="F63" s="98">
        <v>0.11143000239531389</v>
      </c>
      <c r="G63" s="98">
        <v>0.41299999999999998</v>
      </c>
      <c r="H63" s="98">
        <v>0.3856597737478078</v>
      </c>
      <c r="I63" s="100">
        <v>1</v>
      </c>
      <c r="J63" s="100">
        <v>1</v>
      </c>
      <c r="K63" s="99">
        <v>3.4439480440280851E-3</v>
      </c>
      <c r="L63" s="98">
        <v>0.61109999999999998</v>
      </c>
    </row>
    <row r="64" spans="2:12" ht="13.8" thickBot="1" x14ac:dyDescent="0.3">
      <c r="B64" s="110"/>
      <c r="C64" s="94">
        <v>2022</v>
      </c>
      <c r="D64" s="98">
        <v>0.48980000000000001</v>
      </c>
      <c r="E64" s="98">
        <v>33.655200000000001</v>
      </c>
      <c r="F64" s="98">
        <v>0.10356030171353611</v>
      </c>
      <c r="G64" s="98">
        <v>0.4103</v>
      </c>
      <c r="H64" s="98">
        <v>0.37334519035554287</v>
      </c>
      <c r="I64" s="100">
        <v>0.66666666666666663</v>
      </c>
      <c r="J64" s="100">
        <v>0.8</v>
      </c>
      <c r="K64" s="99">
        <v>3.2664161607754232E-3</v>
      </c>
      <c r="L64" s="98">
        <v>0.55559999999999998</v>
      </c>
    </row>
    <row r="65" spans="2:12" ht="13.8" customHeight="1" x14ac:dyDescent="0.25">
      <c r="B65" s="108" t="s">
        <v>173</v>
      </c>
      <c r="C65" s="94">
        <v>2018</v>
      </c>
      <c r="D65" s="98">
        <v>0.46939999999999998</v>
      </c>
      <c r="E65" s="98">
        <v>32.387</v>
      </c>
      <c r="F65" s="98">
        <v>0.11582783205118526</v>
      </c>
      <c r="G65" s="98">
        <v>0.50939999999999996</v>
      </c>
      <c r="H65" s="98">
        <v>0.38863299659269118</v>
      </c>
      <c r="I65" s="100">
        <v>0.66666666666666663</v>
      </c>
      <c r="J65" s="100">
        <v>0.6</v>
      </c>
      <c r="K65" s="99">
        <v>1.0065701437750583E-3</v>
      </c>
      <c r="L65" s="98">
        <v>0.5</v>
      </c>
    </row>
    <row r="66" spans="2:12" ht="13.8" customHeight="1" x14ac:dyDescent="0.25">
      <c r="B66" s="109"/>
      <c r="C66" s="94">
        <v>2019</v>
      </c>
      <c r="D66" s="98">
        <v>0.58499999999999996</v>
      </c>
      <c r="E66" s="98">
        <v>32.347000000000001</v>
      </c>
      <c r="F66" s="98">
        <v>9.767469192838743E-2</v>
      </c>
      <c r="G66" s="98">
        <v>0.45300000000000001</v>
      </c>
      <c r="H66" s="98">
        <v>0.28957593415162908</v>
      </c>
      <c r="I66" s="100">
        <v>1</v>
      </c>
      <c r="J66" s="100">
        <v>0.8</v>
      </c>
      <c r="K66" s="99">
        <v>7.5468134410942292E-4</v>
      </c>
      <c r="L66" s="98">
        <v>0.66669999999999996</v>
      </c>
    </row>
    <row r="67" spans="2:12" ht="13.8" customHeight="1" x14ac:dyDescent="0.25">
      <c r="B67" s="109"/>
      <c r="C67" s="94">
        <v>2020</v>
      </c>
      <c r="D67" s="98">
        <v>0.42180000000000001</v>
      </c>
      <c r="E67" s="98">
        <v>32.234200000000001</v>
      </c>
      <c r="F67" s="98">
        <v>5.3258091657124446E-2</v>
      </c>
      <c r="G67" s="98">
        <v>0.36730000000000002</v>
      </c>
      <c r="H67" s="98">
        <v>0.88604105916856446</v>
      </c>
      <c r="I67" s="100">
        <v>0.66666666666666663</v>
      </c>
      <c r="J67" s="100">
        <v>0.6</v>
      </c>
      <c r="K67" s="99">
        <v>3.638141247194178E-4</v>
      </c>
      <c r="L67" s="98">
        <v>0.55559999999999998</v>
      </c>
    </row>
    <row r="68" spans="2:12" ht="13.8" customHeight="1" x14ac:dyDescent="0.25">
      <c r="B68" s="109"/>
      <c r="C68" s="94">
        <v>2021</v>
      </c>
      <c r="D68" s="98">
        <v>0.47620000000000001</v>
      </c>
      <c r="E68" s="98">
        <v>32.354500000000002</v>
      </c>
      <c r="F68" s="98">
        <v>9.9907243902342208E-2</v>
      </c>
      <c r="G68" s="98">
        <v>0.3619</v>
      </c>
      <c r="H68" s="98">
        <v>0.76370781303738255</v>
      </c>
      <c r="I68" s="100">
        <v>1</v>
      </c>
      <c r="J68" s="100">
        <v>1</v>
      </c>
      <c r="K68" s="99">
        <v>4.9627156232908212E-4</v>
      </c>
      <c r="L68" s="98">
        <v>0.83330000000000004</v>
      </c>
    </row>
    <row r="69" spans="2:12" ht="13.8" customHeight="1" thickBot="1" x14ac:dyDescent="0.3">
      <c r="B69" s="110"/>
      <c r="C69" s="94">
        <v>2022</v>
      </c>
      <c r="D69" s="98">
        <v>0.55100000000000005</v>
      </c>
      <c r="E69" s="98">
        <v>32.576099999999997</v>
      </c>
      <c r="F69" s="98">
        <v>0.18173973702832952</v>
      </c>
      <c r="G69" s="98">
        <v>0.36280000000000001</v>
      </c>
      <c r="H69" s="98">
        <v>0.78243619812661114</v>
      </c>
      <c r="I69" s="100">
        <v>1</v>
      </c>
      <c r="J69" s="100">
        <v>0.8</v>
      </c>
      <c r="K69" s="99">
        <v>2.0870851011637248E-4</v>
      </c>
      <c r="L69" s="98">
        <v>0.61109999999999998</v>
      </c>
    </row>
    <row r="70" spans="2:12" x14ac:dyDescent="0.25">
      <c r="B70" s="108" t="s">
        <v>174</v>
      </c>
      <c r="C70" s="94">
        <v>2018</v>
      </c>
      <c r="D70" s="98">
        <v>0.51019999999999999</v>
      </c>
      <c r="E70" s="98">
        <v>31.684799999999999</v>
      </c>
      <c r="F70" s="98">
        <v>-5.7872972661392887E-2</v>
      </c>
      <c r="G70" s="98">
        <v>0.68159999999999998</v>
      </c>
      <c r="H70" s="98">
        <v>0.59477602083835723</v>
      </c>
      <c r="I70" s="100">
        <v>1</v>
      </c>
      <c r="J70" s="100">
        <v>0.8</v>
      </c>
      <c r="K70" s="99">
        <v>3.237028307413166E-3</v>
      </c>
      <c r="L70" s="98">
        <v>0.55559999999999998</v>
      </c>
    </row>
    <row r="71" spans="2:12" ht="13.8" customHeight="1" x14ac:dyDescent="0.25">
      <c r="B71" s="109"/>
      <c r="C71" s="94">
        <v>2019</v>
      </c>
      <c r="D71" s="98">
        <v>0.51019999999999999</v>
      </c>
      <c r="E71" s="98">
        <v>31.7698</v>
      </c>
      <c r="F71" s="98">
        <v>1.1849862015586408E-2</v>
      </c>
      <c r="G71" s="98">
        <v>0.69510000000000005</v>
      </c>
      <c r="H71" s="98">
        <v>0.58033156436387545</v>
      </c>
      <c r="I71" s="100">
        <v>0.66666666666666663</v>
      </c>
      <c r="J71" s="100">
        <v>0.4</v>
      </c>
      <c r="K71" s="99">
        <v>2.8509366281387009E-3</v>
      </c>
      <c r="L71" s="98">
        <v>0.66669999999999996</v>
      </c>
    </row>
    <row r="72" spans="2:12" ht="13.8" customHeight="1" x14ac:dyDescent="0.25">
      <c r="B72" s="109"/>
      <c r="C72" s="94">
        <v>2020</v>
      </c>
      <c r="D72" s="98">
        <v>0.50339999999999996</v>
      </c>
      <c r="E72" s="98">
        <v>31.846800000000002</v>
      </c>
      <c r="F72" s="98">
        <v>1.0929715643442937E-2</v>
      </c>
      <c r="G72" s="98">
        <v>0.71750000000000003</v>
      </c>
      <c r="H72" s="98">
        <v>0.7397253009492496</v>
      </c>
      <c r="I72" s="100">
        <v>1</v>
      </c>
      <c r="J72" s="100">
        <v>1</v>
      </c>
      <c r="K72" s="99">
        <v>1.1978743818732011E-3</v>
      </c>
      <c r="L72" s="98">
        <v>0.61109999999999998</v>
      </c>
    </row>
    <row r="73" spans="2:12" ht="13.8" customHeight="1" x14ac:dyDescent="0.25">
      <c r="B73" s="109"/>
      <c r="C73" s="94">
        <v>2021</v>
      </c>
      <c r="D73" s="98">
        <v>0.53059999999999996</v>
      </c>
      <c r="E73" s="98">
        <v>32.354500000000002</v>
      </c>
      <c r="F73" s="98">
        <v>0.11766936269290473</v>
      </c>
      <c r="G73" s="98">
        <v>0.3619</v>
      </c>
      <c r="H73" s="98">
        <v>0.76370781303738255</v>
      </c>
      <c r="I73" s="100">
        <v>0.66666666666666663</v>
      </c>
      <c r="J73" s="100">
        <v>0.6</v>
      </c>
      <c r="K73" s="99">
        <v>1.0883664194663754E-3</v>
      </c>
      <c r="L73" s="98">
        <v>0.55559999999999998</v>
      </c>
    </row>
    <row r="74" spans="2:12" ht="13.8" customHeight="1" thickBot="1" x14ac:dyDescent="0.3">
      <c r="B74" s="110"/>
      <c r="C74" s="94">
        <v>2022</v>
      </c>
      <c r="D74" s="98">
        <v>0.53739999999999999</v>
      </c>
      <c r="E74" s="98">
        <v>32.576099999999997</v>
      </c>
      <c r="F74" s="98">
        <v>0.18173973702832952</v>
      </c>
      <c r="G74" s="98">
        <v>0.36280000000000001</v>
      </c>
      <c r="H74" s="98">
        <v>0.78243619812661114</v>
      </c>
      <c r="I74" s="100">
        <v>1</v>
      </c>
      <c r="J74" s="100">
        <v>0.8</v>
      </c>
      <c r="K74" s="99">
        <v>1.0468455537093223E-3</v>
      </c>
      <c r="L74" s="98">
        <v>0.77780000000000005</v>
      </c>
    </row>
    <row r="75" spans="2:12" ht="13.8" customHeight="1" x14ac:dyDescent="0.25">
      <c r="B75" s="108" t="s">
        <v>175</v>
      </c>
      <c r="C75" s="94">
        <v>2018</v>
      </c>
      <c r="D75" s="98">
        <v>0.56459999999999999</v>
      </c>
      <c r="E75" s="98">
        <v>32.0428</v>
      </c>
      <c r="F75" s="98">
        <v>2.5202323201490608E-2</v>
      </c>
      <c r="G75" s="98">
        <v>0.75490000000000002</v>
      </c>
      <c r="H75" s="98">
        <v>2.9271880404646174E-2</v>
      </c>
      <c r="I75" s="100">
        <v>0.66666666666666663</v>
      </c>
      <c r="J75" s="100">
        <v>0.6</v>
      </c>
      <c r="K75" s="99">
        <v>4.3800792119708104E-4</v>
      </c>
      <c r="L75" s="98">
        <v>0.61109999999999998</v>
      </c>
    </row>
    <row r="76" spans="2:12" x14ac:dyDescent="0.25">
      <c r="B76" s="109"/>
      <c r="C76" s="94">
        <v>2019</v>
      </c>
      <c r="D76" s="98">
        <v>0.53059999999999996</v>
      </c>
      <c r="E76" s="98">
        <v>32.232999999999997</v>
      </c>
      <c r="F76" s="98">
        <v>2.277769173630698E-2</v>
      </c>
      <c r="G76" s="98">
        <v>0.76739999999999997</v>
      </c>
      <c r="H76" s="98">
        <v>8.1984511208852903E-2</v>
      </c>
      <c r="I76" s="100">
        <v>1</v>
      </c>
      <c r="J76" s="100">
        <v>0.8</v>
      </c>
      <c r="K76" s="99">
        <v>3.2805117437805962E-4</v>
      </c>
      <c r="L76" s="98">
        <v>0.5</v>
      </c>
    </row>
    <row r="77" spans="2:12" ht="13.8" customHeight="1" x14ac:dyDescent="0.25">
      <c r="B77" s="109"/>
      <c r="C77" s="94">
        <v>2020</v>
      </c>
      <c r="D77" s="98">
        <v>0.45579999999999998</v>
      </c>
      <c r="E77" s="98">
        <v>32.276200000000003</v>
      </c>
      <c r="F77" s="98">
        <v>-4.1437877321566063E-4</v>
      </c>
      <c r="G77" s="98">
        <v>0.76200000000000001</v>
      </c>
      <c r="H77" s="98">
        <v>9.6507616510413813E-2</v>
      </c>
      <c r="I77" s="100">
        <v>0.66666666666666663</v>
      </c>
      <c r="J77" s="100">
        <v>0.6</v>
      </c>
      <c r="K77" s="99">
        <v>8.691968909143284E-5</v>
      </c>
      <c r="L77" s="98">
        <v>0.61109999999999998</v>
      </c>
    </row>
    <row r="78" spans="2:12" ht="13.8" customHeight="1" x14ac:dyDescent="0.25">
      <c r="B78" s="109"/>
      <c r="C78" s="94">
        <v>2021</v>
      </c>
      <c r="D78" s="98">
        <v>0.56459999999999999</v>
      </c>
      <c r="E78" s="98">
        <v>32.2485</v>
      </c>
      <c r="F78" s="98">
        <v>8.4862221230428952E-3</v>
      </c>
      <c r="G78" s="98">
        <v>0.74809999999999999</v>
      </c>
      <c r="H78" s="98">
        <v>0.23010236809716991</v>
      </c>
      <c r="I78" s="100">
        <v>1</v>
      </c>
      <c r="J78" s="100">
        <v>1</v>
      </c>
      <c r="K78" s="99">
        <v>7.3513936080751743E-5</v>
      </c>
      <c r="L78" s="98">
        <v>0.5</v>
      </c>
    </row>
    <row r="79" spans="2:12" ht="13.8" customHeight="1" thickBot="1" x14ac:dyDescent="0.3">
      <c r="B79" s="110"/>
      <c r="C79" s="94">
        <v>2022</v>
      </c>
      <c r="D79" s="98">
        <v>0.61219999999999997</v>
      </c>
      <c r="E79" s="98">
        <v>32.1434</v>
      </c>
      <c r="F79" s="98">
        <v>2.4157220559217821E-2</v>
      </c>
      <c r="G79" s="98">
        <v>0.71889999999999998</v>
      </c>
      <c r="H79" s="98">
        <v>0.28915848389210302</v>
      </c>
      <c r="I79" s="100">
        <v>0.66666666666666663</v>
      </c>
      <c r="J79" s="100">
        <v>0.8</v>
      </c>
      <c r="K79" s="99">
        <v>7.1319490227594981E-5</v>
      </c>
      <c r="L79" s="98">
        <v>0.44440000000000002</v>
      </c>
    </row>
    <row r="80" spans="2:12" ht="13.8" customHeight="1" x14ac:dyDescent="0.25">
      <c r="B80" s="108" t="s">
        <v>176</v>
      </c>
      <c r="C80" s="94">
        <v>2018</v>
      </c>
      <c r="D80" s="98">
        <v>0.53059999999999996</v>
      </c>
      <c r="E80" s="98">
        <v>31.5928</v>
      </c>
      <c r="F80" s="98">
        <v>4.1534038826595301E-2</v>
      </c>
      <c r="G80" s="98">
        <v>0.6895</v>
      </c>
      <c r="H80" s="98">
        <v>2.7000380871747616E-2</v>
      </c>
      <c r="I80" s="100">
        <v>1</v>
      </c>
      <c r="J80" s="100">
        <v>0.8</v>
      </c>
      <c r="K80" s="99">
        <v>2.376982724433243E-4</v>
      </c>
      <c r="L80" s="98">
        <v>0.83330000000000004</v>
      </c>
    </row>
    <row r="81" spans="2:12" ht="13.8" customHeight="1" x14ac:dyDescent="0.25">
      <c r="B81" s="109"/>
      <c r="C81" s="94">
        <v>2019</v>
      </c>
      <c r="D81" s="98">
        <v>0.54420000000000002</v>
      </c>
      <c r="E81" s="98">
        <v>31.6587</v>
      </c>
      <c r="F81" s="98">
        <v>1.9288851567244514E-2</v>
      </c>
      <c r="G81" s="98">
        <v>0.73260000000000003</v>
      </c>
      <c r="H81" s="98">
        <v>1.0082427771042866E-2</v>
      </c>
      <c r="I81" s="100">
        <v>1</v>
      </c>
      <c r="J81" s="100">
        <v>0.8</v>
      </c>
      <c r="K81" s="99">
        <v>1.6488005480573794E-4</v>
      </c>
      <c r="L81" s="98">
        <v>0.55559999999999998</v>
      </c>
    </row>
    <row r="82" spans="2:12" x14ac:dyDescent="0.25">
      <c r="B82" s="109"/>
      <c r="C82" s="94">
        <v>2020</v>
      </c>
      <c r="D82" s="98">
        <v>0.50339999999999996</v>
      </c>
      <c r="E82" s="98">
        <v>31.610199999999999</v>
      </c>
      <c r="F82" s="98">
        <v>4.858807279375944E-3</v>
      </c>
      <c r="G82" s="98">
        <v>0.73809999999999998</v>
      </c>
      <c r="H82" s="98">
        <v>-9.6112960504267271E-3</v>
      </c>
      <c r="I82" s="100">
        <v>0.66666666666666663</v>
      </c>
      <c r="J82" s="100">
        <v>0.6</v>
      </c>
      <c r="K82" s="99">
        <v>6.7304780501102968E-3</v>
      </c>
      <c r="L82" s="98">
        <v>0.55559999999999998</v>
      </c>
    </row>
    <row r="83" spans="2:12" ht="13.8" customHeight="1" x14ac:dyDescent="0.25">
      <c r="B83" s="109"/>
      <c r="C83" s="94">
        <v>2021</v>
      </c>
      <c r="D83" s="98">
        <v>0.54420000000000002</v>
      </c>
      <c r="E83" s="98">
        <v>31.648700000000002</v>
      </c>
      <c r="F83" s="98">
        <v>6.6287806696015998E-3</v>
      </c>
      <c r="G83" s="98">
        <v>0.74209999999999998</v>
      </c>
      <c r="H83" s="98">
        <v>1.5547827819839781E-2</v>
      </c>
      <c r="I83" s="100">
        <v>1</v>
      </c>
      <c r="J83" s="100">
        <v>0.6</v>
      </c>
      <c r="K83" s="99">
        <v>2.3117552295900379E-3</v>
      </c>
      <c r="L83" s="98">
        <v>0.66669999999999996</v>
      </c>
    </row>
    <row r="84" spans="2:12" ht="13.8" customHeight="1" thickBot="1" x14ac:dyDescent="0.3">
      <c r="B84" s="110"/>
      <c r="C84" s="94">
        <v>2022</v>
      </c>
      <c r="D84" s="98">
        <v>0.53059999999999996</v>
      </c>
      <c r="E84" s="98">
        <v>31.684799999999999</v>
      </c>
      <c r="F84" s="98">
        <v>6.4626543557444044E-3</v>
      </c>
      <c r="G84" s="98">
        <v>0.74270000000000003</v>
      </c>
      <c r="H84" s="98">
        <v>1.0040108184203178E-2</v>
      </c>
      <c r="I84" s="100">
        <v>1</v>
      </c>
      <c r="J84" s="100">
        <v>0.6</v>
      </c>
      <c r="K84" s="99">
        <v>1.4322194583536252E-3</v>
      </c>
      <c r="L84" s="98">
        <v>0.61109999999999998</v>
      </c>
    </row>
    <row r="85" spans="2:12" ht="13.8" customHeight="1" x14ac:dyDescent="0.25">
      <c r="B85" s="108" t="s">
        <v>177</v>
      </c>
      <c r="C85" s="94">
        <v>2018</v>
      </c>
      <c r="D85" s="98">
        <v>0.55779999999999996</v>
      </c>
      <c r="E85" s="98">
        <v>30.921500000000002</v>
      </c>
      <c r="F85" s="98">
        <v>5.8515705228447519E-2</v>
      </c>
      <c r="G85" s="98">
        <v>0.27489999999999998</v>
      </c>
      <c r="H85" s="98">
        <v>0.66478630145001028</v>
      </c>
      <c r="I85" s="100">
        <v>1</v>
      </c>
      <c r="J85" s="100">
        <v>0.6</v>
      </c>
      <c r="K85" s="99">
        <v>2.9366681650984638E-4</v>
      </c>
      <c r="L85" s="98">
        <v>0.55559999999999998</v>
      </c>
    </row>
    <row r="86" spans="2:12" ht="13.8" customHeight="1" x14ac:dyDescent="0.25">
      <c r="B86" s="109"/>
      <c r="C86" s="94">
        <v>2019</v>
      </c>
      <c r="D86" s="98">
        <v>0.45579999999999998</v>
      </c>
      <c r="E86" s="98">
        <v>30.925899999999999</v>
      </c>
      <c r="F86" s="98">
        <v>9.0516092270914589E-3</v>
      </c>
      <c r="G86" s="98">
        <v>0.2964</v>
      </c>
      <c r="H86" s="98">
        <v>0.82485439743675659</v>
      </c>
      <c r="I86" s="100">
        <v>1</v>
      </c>
      <c r="J86" s="100">
        <v>0.6</v>
      </c>
      <c r="K86" s="99">
        <v>4.3423096890931473E-4</v>
      </c>
      <c r="L86" s="98">
        <v>0.66669999999999996</v>
      </c>
    </row>
    <row r="87" spans="2:12" ht="13.8" customHeight="1" x14ac:dyDescent="0.25">
      <c r="B87" s="109"/>
      <c r="C87" s="94">
        <v>2020</v>
      </c>
      <c r="D87" s="98">
        <v>0.53739999999999999</v>
      </c>
      <c r="E87" s="98">
        <v>30.955400000000001</v>
      </c>
      <c r="F87" s="98">
        <v>3.2646268113867581E-2</v>
      </c>
      <c r="G87" s="98">
        <v>0.30719999999999997</v>
      </c>
      <c r="H87" s="98">
        <v>1.2954846455186202</v>
      </c>
      <c r="I87" s="100">
        <v>1</v>
      </c>
      <c r="J87" s="100">
        <v>0.6</v>
      </c>
      <c r="K87" s="99">
        <v>4.1189679463807775E-4</v>
      </c>
      <c r="L87" s="98">
        <v>0.5</v>
      </c>
    </row>
    <row r="88" spans="2:12" x14ac:dyDescent="0.25">
      <c r="B88" s="109"/>
      <c r="C88" s="94">
        <v>2021</v>
      </c>
      <c r="D88" s="98">
        <v>0.51700000000000002</v>
      </c>
      <c r="E88" s="98">
        <v>31.045500000000001</v>
      </c>
      <c r="F88" s="98">
        <v>7.1066400782095404E-2</v>
      </c>
      <c r="G88" s="98">
        <v>0.30359999999999998</v>
      </c>
      <c r="H88" s="98">
        <v>0.82127412339717021</v>
      </c>
      <c r="I88" s="100">
        <v>1</v>
      </c>
      <c r="J88" s="100">
        <v>0.6</v>
      </c>
      <c r="K88" s="99">
        <v>4.7526462746299279E-4</v>
      </c>
      <c r="L88" s="98">
        <v>0.66669999999999996</v>
      </c>
    </row>
    <row r="89" spans="2:12" ht="13.8" customHeight="1" thickBot="1" x14ac:dyDescent="0.3">
      <c r="B89" s="110"/>
      <c r="C89" s="94">
        <v>2022</v>
      </c>
      <c r="D89" s="98">
        <v>0.50339999999999996</v>
      </c>
      <c r="E89" s="98">
        <v>31.006900000000002</v>
      </c>
      <c r="F89" s="98">
        <v>6.0086258257145447E-2</v>
      </c>
      <c r="G89" s="98">
        <v>0.23949999999999999</v>
      </c>
      <c r="H89" s="98">
        <v>0.89403387046570792</v>
      </c>
      <c r="I89" s="100">
        <v>0.66666666666666663</v>
      </c>
      <c r="J89" s="100">
        <v>0.8</v>
      </c>
      <c r="K89" s="99">
        <v>5.0708836507080155E-4</v>
      </c>
      <c r="L89" s="98">
        <v>0.61109999999999998</v>
      </c>
    </row>
    <row r="90" spans="2:12" ht="13.8" customHeight="1" x14ac:dyDescent="0.25">
      <c r="B90" s="108" t="s">
        <v>178</v>
      </c>
      <c r="C90" s="94">
        <v>2018</v>
      </c>
      <c r="D90" s="98">
        <v>0.51700000000000002</v>
      </c>
      <c r="E90" s="98">
        <v>31.712399999999999</v>
      </c>
      <c r="F90" s="98">
        <v>3.952388241313002E-2</v>
      </c>
      <c r="G90" s="98">
        <v>0.70930000000000004</v>
      </c>
      <c r="H90" s="98">
        <v>9.636612996741499E-2</v>
      </c>
      <c r="I90" s="100">
        <v>1</v>
      </c>
      <c r="J90" s="100">
        <v>0.6</v>
      </c>
      <c r="K90" s="99">
        <v>8.1460514926058115E-4</v>
      </c>
      <c r="L90" s="98">
        <v>0.55559999999999998</v>
      </c>
    </row>
    <row r="91" spans="2:12" ht="13.8" customHeight="1" x14ac:dyDescent="0.25">
      <c r="B91" s="109"/>
      <c r="C91" s="94">
        <v>2019</v>
      </c>
      <c r="D91" s="98">
        <v>0.43540000000000001</v>
      </c>
      <c r="E91" s="98">
        <v>31.759899999999998</v>
      </c>
      <c r="F91" s="98">
        <v>4.3200870518245081E-2</v>
      </c>
      <c r="G91" s="98">
        <v>0.69059999999999999</v>
      </c>
      <c r="H91" s="98">
        <v>8.7562119309611258E-3</v>
      </c>
      <c r="I91" s="100">
        <v>0.66666666666666663</v>
      </c>
      <c r="J91" s="100">
        <v>0.8</v>
      </c>
      <c r="K91" s="99">
        <v>8.7701891853027032E-4</v>
      </c>
      <c r="L91" s="98">
        <v>0.66669999999999996</v>
      </c>
    </row>
    <row r="92" spans="2:12" ht="13.8" customHeight="1" x14ac:dyDescent="0.25">
      <c r="B92" s="109"/>
      <c r="C92" s="94">
        <v>2020</v>
      </c>
      <c r="D92" s="98">
        <v>0.48980000000000001</v>
      </c>
      <c r="E92" s="98">
        <v>31.8521</v>
      </c>
      <c r="F92" s="98">
        <v>4.9507361830711258E-3</v>
      </c>
      <c r="G92" s="98">
        <v>0.75539999999999996</v>
      </c>
      <c r="H92" s="98">
        <v>3.1986351630860208E-3</v>
      </c>
      <c r="I92" s="100">
        <v>0.66666666666666663</v>
      </c>
      <c r="J92" s="100">
        <v>0.6</v>
      </c>
      <c r="K92" s="99">
        <v>5.2325271383804064E-4</v>
      </c>
      <c r="L92" s="98">
        <v>0.5</v>
      </c>
    </row>
    <row r="93" spans="2:12" ht="13.8" customHeight="1" x14ac:dyDescent="0.25">
      <c r="B93" s="109"/>
      <c r="C93" s="94">
        <v>2021</v>
      </c>
      <c r="D93" s="98">
        <v>0.55100000000000005</v>
      </c>
      <c r="E93" s="98">
        <v>31.870699999999999</v>
      </c>
      <c r="F93" s="98">
        <v>3.1190199771328948E-3</v>
      </c>
      <c r="G93" s="98">
        <v>0.74870000000000003</v>
      </c>
      <c r="H93" s="98">
        <v>-0.10109487047878031</v>
      </c>
      <c r="I93" s="100">
        <v>0.66666666666666663</v>
      </c>
      <c r="J93" s="100">
        <v>0.4</v>
      </c>
      <c r="K93" s="99">
        <v>4.3538881819750409E-4</v>
      </c>
      <c r="L93" s="98">
        <v>0.5</v>
      </c>
    </row>
    <row r="94" spans="2:12" ht="13.8" thickBot="1" x14ac:dyDescent="0.3">
      <c r="B94" s="110"/>
      <c r="C94" s="94">
        <v>2022</v>
      </c>
      <c r="D94" s="98">
        <v>0.55779999999999996</v>
      </c>
      <c r="E94" s="98">
        <v>31.949400000000001</v>
      </c>
      <c r="F94" s="98">
        <v>1.7426050012350549E-4</v>
      </c>
      <c r="G94" s="98">
        <v>0.76700000000000002</v>
      </c>
      <c r="H94" s="98">
        <v>-7.9744538244468186E-2</v>
      </c>
      <c r="I94" s="100">
        <v>0.66666666666666663</v>
      </c>
      <c r="J94" s="100">
        <v>0.4</v>
      </c>
      <c r="K94" s="99">
        <v>4.2900673759729043E-4</v>
      </c>
      <c r="L94" s="98">
        <v>0.55559999999999998</v>
      </c>
    </row>
    <row r="95" spans="2:12" ht="13.8" customHeight="1" x14ac:dyDescent="0.25">
      <c r="B95" s="108" t="s">
        <v>179</v>
      </c>
      <c r="C95" s="94">
        <v>2018</v>
      </c>
      <c r="D95" s="98">
        <v>0.56459999999999999</v>
      </c>
      <c r="E95" s="98">
        <v>32.454500000000003</v>
      </c>
      <c r="F95" s="98">
        <v>4.1563929411206228E-2</v>
      </c>
      <c r="G95" s="98">
        <v>0.76780000000000004</v>
      </c>
      <c r="H95" s="98">
        <v>5.3435808289838134E-2</v>
      </c>
      <c r="I95" s="100">
        <v>0.66666666666666663</v>
      </c>
      <c r="J95" s="100">
        <v>0.6</v>
      </c>
      <c r="K95" s="99">
        <v>4.5019208421544228E-5</v>
      </c>
      <c r="L95" s="98">
        <v>0.33329999999999999</v>
      </c>
    </row>
    <row r="96" spans="2:12" ht="13.8" customHeight="1" x14ac:dyDescent="0.25">
      <c r="B96" s="109"/>
      <c r="C96" s="94">
        <v>2019</v>
      </c>
      <c r="D96" s="98">
        <v>0.61219999999999997</v>
      </c>
      <c r="E96" s="98">
        <v>32.439900000000002</v>
      </c>
      <c r="F96" s="98">
        <v>8.3318071461134201E-3</v>
      </c>
      <c r="G96" s="98">
        <v>0.76249999999999996</v>
      </c>
      <c r="H96" s="98">
        <v>0.2002121206298132</v>
      </c>
      <c r="I96" s="100">
        <v>1</v>
      </c>
      <c r="J96" s="100">
        <v>1</v>
      </c>
      <c r="K96" s="99">
        <v>9.9193736330729866E-5</v>
      </c>
      <c r="L96" s="98">
        <v>0.72219999999999995</v>
      </c>
    </row>
    <row r="97" spans="2:12" ht="13.8" customHeight="1" x14ac:dyDescent="0.25">
      <c r="B97" s="109"/>
      <c r="C97" s="94">
        <v>2020</v>
      </c>
      <c r="D97" s="98">
        <v>0.56459999999999999</v>
      </c>
      <c r="E97" s="98">
        <v>32.290599999999998</v>
      </c>
      <c r="F97" s="98">
        <v>-8.323078487574416E-2</v>
      </c>
      <c r="G97" s="98">
        <v>0.84299999999999997</v>
      </c>
      <c r="H97" s="98">
        <v>8.5215606570952993E-3</v>
      </c>
      <c r="I97" s="100">
        <v>1</v>
      </c>
      <c r="J97" s="100">
        <v>1</v>
      </c>
      <c r="K97" s="99">
        <v>4.7896685796753366E-4</v>
      </c>
      <c r="L97" s="98">
        <v>0.88890000000000002</v>
      </c>
    </row>
    <row r="98" spans="2:12" ht="13.8" customHeight="1" x14ac:dyDescent="0.25">
      <c r="B98" s="109"/>
      <c r="C98" s="94">
        <v>2021</v>
      </c>
      <c r="D98" s="98">
        <v>0.50339999999999996</v>
      </c>
      <c r="E98" s="98">
        <v>32.271599999999999</v>
      </c>
      <c r="F98" s="98">
        <v>-1.7579505853380271E-2</v>
      </c>
      <c r="G98" s="98">
        <v>0.8508</v>
      </c>
      <c r="H98" s="98">
        <v>7.0872486544620028E-3</v>
      </c>
      <c r="I98" s="100">
        <v>1</v>
      </c>
      <c r="J98" s="100">
        <v>0.6</v>
      </c>
      <c r="K98" s="99">
        <v>2.7163197784691405E-4</v>
      </c>
      <c r="L98" s="98">
        <v>0.66669999999999996</v>
      </c>
    </row>
    <row r="99" spans="2:12" ht="13.8" customHeight="1" thickBot="1" x14ac:dyDescent="0.3">
      <c r="B99" s="110"/>
      <c r="C99" s="94">
        <v>2022</v>
      </c>
      <c r="D99" s="98">
        <v>0.55100000000000005</v>
      </c>
      <c r="E99" s="98">
        <v>32.218400000000003</v>
      </c>
      <c r="F99" s="98">
        <v>-1.657534805362525E-2</v>
      </c>
      <c r="G99" s="98">
        <v>0.85499999999999998</v>
      </c>
      <c r="H99" s="98">
        <v>-4.9681375210228725E-3</v>
      </c>
      <c r="I99" s="100">
        <v>1</v>
      </c>
      <c r="J99" s="100">
        <v>0.6</v>
      </c>
      <c r="K99" s="99">
        <v>1.4952864700420489E-3</v>
      </c>
      <c r="L99" s="98">
        <v>0.77780000000000005</v>
      </c>
    </row>
    <row r="100" spans="2:12" x14ac:dyDescent="0.25">
      <c r="B100" s="108" t="s">
        <v>180</v>
      </c>
      <c r="C100" s="94">
        <v>2018</v>
      </c>
      <c r="D100" s="98">
        <v>0.53739999999999999</v>
      </c>
      <c r="E100" s="98">
        <v>29.420200000000001</v>
      </c>
      <c r="F100" s="98">
        <v>1.0792495293953694E-2</v>
      </c>
      <c r="G100" s="98">
        <v>0.58620000000000005</v>
      </c>
      <c r="H100" s="98">
        <v>0.14676958037848215</v>
      </c>
      <c r="I100" s="100">
        <v>1</v>
      </c>
      <c r="J100" s="100">
        <v>0.8</v>
      </c>
      <c r="K100" s="99">
        <v>2.4755304273816037E-3</v>
      </c>
      <c r="L100" s="98">
        <v>0.66669999999999996</v>
      </c>
    </row>
    <row r="101" spans="2:12" ht="13.8" customHeight="1" x14ac:dyDescent="0.25">
      <c r="B101" s="109"/>
      <c r="C101" s="94">
        <v>2019</v>
      </c>
      <c r="D101" s="98">
        <v>0.53059999999999996</v>
      </c>
      <c r="E101" s="98">
        <v>29.535799999999998</v>
      </c>
      <c r="F101" s="98">
        <v>-2.7052400500618346E-2</v>
      </c>
      <c r="G101" s="98">
        <v>0.68679999999999997</v>
      </c>
      <c r="H101" s="98">
        <v>0.59246930658827601</v>
      </c>
      <c r="I101" s="100">
        <v>0.66666666666666663</v>
      </c>
      <c r="J101" s="100">
        <v>0.4</v>
      </c>
      <c r="K101" s="99">
        <v>2.4745989694023116E-3</v>
      </c>
      <c r="L101" s="98">
        <v>0.5</v>
      </c>
    </row>
    <row r="102" spans="2:12" ht="13.8" customHeight="1" x14ac:dyDescent="0.25">
      <c r="B102" s="109"/>
      <c r="C102" s="94">
        <v>2020</v>
      </c>
      <c r="D102" s="98">
        <v>0.53739999999999999</v>
      </c>
      <c r="E102" s="98">
        <v>29.515999999999998</v>
      </c>
      <c r="F102" s="98">
        <v>-1.2808869506084151E-2</v>
      </c>
      <c r="G102" s="98">
        <v>0.66879999999999995</v>
      </c>
      <c r="H102" s="98">
        <v>-0.15871869972360877</v>
      </c>
      <c r="I102" s="100">
        <v>1</v>
      </c>
      <c r="J102" s="100">
        <v>0.8</v>
      </c>
      <c r="K102" s="99">
        <v>2.6041834808678602E-3</v>
      </c>
      <c r="L102" s="98">
        <v>0.66669999999999996</v>
      </c>
    </row>
    <row r="103" spans="2:12" ht="13.8" customHeight="1" x14ac:dyDescent="0.25">
      <c r="B103" s="109"/>
      <c r="C103" s="94">
        <v>2021</v>
      </c>
      <c r="D103" s="98">
        <v>0.50339999999999996</v>
      </c>
      <c r="E103" s="98">
        <v>29.5487</v>
      </c>
      <c r="F103" s="98">
        <v>1.323567548847777E-3</v>
      </c>
      <c r="G103" s="98">
        <v>0.67149999999999999</v>
      </c>
      <c r="H103" s="98">
        <v>0.47163598857505556</v>
      </c>
      <c r="I103" s="100">
        <v>1</v>
      </c>
      <c r="J103" s="100">
        <v>0.8</v>
      </c>
      <c r="K103" s="99">
        <v>3.0091729199724368E-3</v>
      </c>
      <c r="L103" s="98">
        <v>0.66669999999999996</v>
      </c>
    </row>
    <row r="104" spans="2:12" ht="13.8" customHeight="1" thickBot="1" x14ac:dyDescent="0.3">
      <c r="B104" s="110"/>
      <c r="C104" s="94">
        <v>2022</v>
      </c>
      <c r="D104" s="98">
        <v>0.53059999999999996</v>
      </c>
      <c r="E104" s="98">
        <v>29.631900000000002</v>
      </c>
      <c r="F104" s="98">
        <v>-4.5619558573291856E-2</v>
      </c>
      <c r="G104" s="98">
        <v>0.71009999999999995</v>
      </c>
      <c r="H104" s="98">
        <v>1.6545852397055898</v>
      </c>
      <c r="I104" s="100">
        <v>1</v>
      </c>
      <c r="J104" s="100">
        <v>0.8</v>
      </c>
      <c r="K104" s="99">
        <v>3.6404290704186815E-3</v>
      </c>
      <c r="L104" s="98">
        <v>0.5</v>
      </c>
    </row>
    <row r="105" spans="2:12" ht="13.8" customHeight="1" x14ac:dyDescent="0.25">
      <c r="B105" s="108" t="s">
        <v>181</v>
      </c>
      <c r="C105" s="94">
        <v>2018</v>
      </c>
      <c r="D105" s="98">
        <v>0.51700000000000002</v>
      </c>
      <c r="E105" s="98">
        <v>30.9556</v>
      </c>
      <c r="F105" s="98">
        <v>4.0455136123660286E-2</v>
      </c>
      <c r="G105" s="98">
        <v>0.1643</v>
      </c>
      <c r="H105" s="98">
        <v>0.50552965891754464</v>
      </c>
      <c r="I105" s="100">
        <v>1</v>
      </c>
      <c r="J105" s="100">
        <v>1</v>
      </c>
      <c r="K105" s="99">
        <v>4.1376736226941141E-4</v>
      </c>
      <c r="L105" s="98">
        <v>0.61109999999999998</v>
      </c>
    </row>
    <row r="106" spans="2:12" x14ac:dyDescent="0.25">
      <c r="B106" s="109"/>
      <c r="C106" s="94">
        <v>2019</v>
      </c>
      <c r="D106" s="98">
        <v>0.51700000000000002</v>
      </c>
      <c r="E106" s="98">
        <v>30.9527</v>
      </c>
      <c r="F106" s="98">
        <v>6.6141513442217803E-2</v>
      </c>
      <c r="G106" s="98">
        <v>0.16700000000000001</v>
      </c>
      <c r="H106" s="98">
        <v>0.90359033364623653</v>
      </c>
      <c r="I106" s="100">
        <v>1</v>
      </c>
      <c r="J106" s="100">
        <v>0.8</v>
      </c>
      <c r="K106" s="99">
        <v>3.5426912521836399E-4</v>
      </c>
      <c r="L106" s="98">
        <v>0.66669999999999996</v>
      </c>
    </row>
    <row r="107" spans="2:12" ht="13.8" customHeight="1" x14ac:dyDescent="0.25">
      <c r="B107" s="109"/>
      <c r="C107" s="94">
        <v>2020</v>
      </c>
      <c r="D107" s="98">
        <v>0.55100000000000005</v>
      </c>
      <c r="E107" s="98">
        <v>30.939499999999999</v>
      </c>
      <c r="F107" s="98">
        <v>6.5622436477407592E-2</v>
      </c>
      <c r="G107" s="98">
        <v>0.189</v>
      </c>
      <c r="H107" s="98">
        <v>0.83919542803577651</v>
      </c>
      <c r="I107" s="100">
        <v>0.66666666666666663</v>
      </c>
      <c r="J107" s="100">
        <v>0.6</v>
      </c>
      <c r="K107" s="99">
        <v>2.984127950044528E-4</v>
      </c>
      <c r="L107" s="98">
        <v>0.61109999999999998</v>
      </c>
    </row>
    <row r="108" spans="2:12" ht="13.8" customHeight="1" x14ac:dyDescent="0.25">
      <c r="B108" s="109"/>
      <c r="C108" s="94">
        <v>2021</v>
      </c>
      <c r="D108" s="98">
        <v>0.58499999999999996</v>
      </c>
      <c r="E108" s="98">
        <v>30.894300000000001</v>
      </c>
      <c r="F108" s="98">
        <v>6.6883684170236393E-2</v>
      </c>
      <c r="G108" s="98">
        <v>0.21099999999999999</v>
      </c>
      <c r="H108" s="98">
        <v>0.56100368750196383</v>
      </c>
      <c r="I108" s="100">
        <v>1</v>
      </c>
      <c r="J108" s="100">
        <v>1</v>
      </c>
      <c r="K108" s="99">
        <v>3.4745027512506256E-4</v>
      </c>
      <c r="L108" s="98">
        <v>0.66669999999999996</v>
      </c>
    </row>
    <row r="109" spans="2:12" ht="13.8" customHeight="1" thickBot="1" x14ac:dyDescent="0.3">
      <c r="B109" s="110"/>
      <c r="C109" s="94">
        <v>2022</v>
      </c>
      <c r="D109" s="98">
        <v>0.60540000000000005</v>
      </c>
      <c r="E109" s="98">
        <v>30.877800000000001</v>
      </c>
      <c r="F109" s="98">
        <v>7.1078428394058188E-2</v>
      </c>
      <c r="G109" s="98">
        <v>0.23880000000000001</v>
      </c>
      <c r="H109" s="98">
        <v>0.49807077835787839</v>
      </c>
      <c r="I109" s="100">
        <v>1</v>
      </c>
      <c r="J109" s="100">
        <v>1</v>
      </c>
      <c r="K109" s="99">
        <v>4.3573198324495569E-4</v>
      </c>
      <c r="L109" s="98">
        <v>0.72219999999999995</v>
      </c>
    </row>
    <row r="110" spans="2:12" ht="13.8" customHeight="1" x14ac:dyDescent="0.25">
      <c r="B110" s="108" t="s">
        <v>182</v>
      </c>
      <c r="C110" s="94">
        <v>2018</v>
      </c>
      <c r="D110" s="98">
        <v>0.57140000000000002</v>
      </c>
      <c r="E110" s="98">
        <v>30.5578</v>
      </c>
      <c r="F110" s="98">
        <v>-4.3244052072422566E-2</v>
      </c>
      <c r="G110" s="98">
        <v>0.65629999999999999</v>
      </c>
      <c r="H110" s="98">
        <v>4.1532478933034904E-2</v>
      </c>
      <c r="I110" s="100">
        <v>1</v>
      </c>
      <c r="J110" s="100">
        <v>0.8</v>
      </c>
      <c r="K110" s="99">
        <v>9.4979495303711267E-5</v>
      </c>
      <c r="L110" s="98">
        <v>0.72219999999999995</v>
      </c>
    </row>
    <row r="111" spans="2:12" ht="13.8" customHeight="1" x14ac:dyDescent="0.25">
      <c r="B111" s="109"/>
      <c r="C111" s="94">
        <v>2019</v>
      </c>
      <c r="D111" s="98">
        <v>0.46260000000000001</v>
      </c>
      <c r="E111" s="98">
        <v>30.604900000000001</v>
      </c>
      <c r="F111" s="98">
        <v>2.6104674329081042E-2</v>
      </c>
      <c r="G111" s="98">
        <v>0.64319999999999999</v>
      </c>
      <c r="H111" s="98">
        <v>7.0640653334260159E-2</v>
      </c>
      <c r="I111" s="100">
        <v>0.66666666666666663</v>
      </c>
      <c r="J111" s="100">
        <v>0.4</v>
      </c>
      <c r="K111" s="99">
        <v>1.2622973054603098E-4</v>
      </c>
      <c r="L111" s="98">
        <v>0.66669999999999996</v>
      </c>
    </row>
    <row r="112" spans="2:12" x14ac:dyDescent="0.25">
      <c r="B112" s="109"/>
      <c r="C112" s="94">
        <v>2020</v>
      </c>
      <c r="D112" s="98">
        <v>0.51019999999999999</v>
      </c>
      <c r="E112" s="98">
        <v>30.663</v>
      </c>
      <c r="F112" s="98">
        <v>3.2302589641152554E-2</v>
      </c>
      <c r="G112" s="98">
        <v>0.63519999999999999</v>
      </c>
      <c r="H112" s="98">
        <v>0.24147211057490889</v>
      </c>
      <c r="I112" s="100">
        <v>0.66666666666666663</v>
      </c>
      <c r="J112" s="100">
        <v>0.4</v>
      </c>
      <c r="K112" s="99">
        <v>5.4489014797625147E-6</v>
      </c>
      <c r="L112" s="98">
        <v>0.33329999999999999</v>
      </c>
    </row>
    <row r="113" spans="2:12" ht="13.8" customHeight="1" x14ac:dyDescent="0.25">
      <c r="B113" s="109"/>
      <c r="C113" s="94">
        <v>2021</v>
      </c>
      <c r="D113" s="98">
        <v>0.48980000000000001</v>
      </c>
      <c r="E113" s="98">
        <v>30.698699999999999</v>
      </c>
      <c r="F113" s="98">
        <v>3.3784437232785278E-2</v>
      </c>
      <c r="G113" s="98">
        <v>0.47889999999999999</v>
      </c>
      <c r="H113" s="98">
        <v>0.39405386358845423</v>
      </c>
      <c r="I113" s="100">
        <v>0.66666666666666663</v>
      </c>
      <c r="J113" s="100">
        <v>0.8</v>
      </c>
      <c r="K113" s="99">
        <v>5.6069922776593745E-5</v>
      </c>
      <c r="L113" s="98">
        <v>0.83330000000000004</v>
      </c>
    </row>
    <row r="114" spans="2:12" ht="13.8" customHeight="1" thickBot="1" x14ac:dyDescent="0.3">
      <c r="B114" s="110"/>
      <c r="C114" s="94">
        <v>2022</v>
      </c>
      <c r="D114" s="98">
        <v>0.48299999999999998</v>
      </c>
      <c r="E114" s="98">
        <v>30.6934</v>
      </c>
      <c r="F114" s="98">
        <v>3.915489352309949E-2</v>
      </c>
      <c r="G114" s="98">
        <v>0.44519999999999998</v>
      </c>
      <c r="H114" s="98">
        <v>0.61768265019096091</v>
      </c>
      <c r="I114" s="100">
        <v>1</v>
      </c>
      <c r="J114" s="100">
        <v>0.8</v>
      </c>
      <c r="K114" s="99">
        <v>3.72336519242922E-5</v>
      </c>
      <c r="L114" s="98">
        <v>0.72219999999999995</v>
      </c>
    </row>
    <row r="115" spans="2:12" ht="13.8" customHeight="1" x14ac:dyDescent="0.25">
      <c r="B115" s="108" t="s">
        <v>183</v>
      </c>
      <c r="C115" s="94">
        <v>2018</v>
      </c>
      <c r="D115" s="98">
        <v>0.53739999999999999</v>
      </c>
      <c r="E115" s="98">
        <v>31.766100000000002</v>
      </c>
      <c r="F115" s="98">
        <v>2.5977635284750004E-2</v>
      </c>
      <c r="G115" s="98">
        <v>0.41470000000000001</v>
      </c>
      <c r="H115" s="98">
        <v>-0.38633710704774238</v>
      </c>
      <c r="I115" s="100">
        <v>1</v>
      </c>
      <c r="J115" s="100">
        <v>0.8</v>
      </c>
      <c r="K115" s="99">
        <v>6.5560052605492282E-4</v>
      </c>
      <c r="L115" s="98">
        <v>0.55559999999999998</v>
      </c>
    </row>
    <row r="116" spans="2:12" ht="13.8" customHeight="1" x14ac:dyDescent="0.25">
      <c r="B116" s="109"/>
      <c r="C116" s="94">
        <v>2019</v>
      </c>
      <c r="D116" s="98">
        <v>0.55779999999999996</v>
      </c>
      <c r="E116" s="98">
        <v>31.959399999999999</v>
      </c>
      <c r="F116" s="98">
        <v>2.4634102482829087E-2</v>
      </c>
      <c r="G116" s="98">
        <v>0.4743</v>
      </c>
      <c r="H116" s="98">
        <v>-0.27214493493854897</v>
      </c>
      <c r="I116" s="100">
        <v>1</v>
      </c>
      <c r="J116" s="100">
        <v>0.8</v>
      </c>
      <c r="K116" s="99">
        <v>5.1771546217659991E-4</v>
      </c>
      <c r="L116" s="98">
        <v>0.66669999999999996</v>
      </c>
    </row>
    <row r="117" spans="2:12" ht="13.8" customHeight="1" x14ac:dyDescent="0.25">
      <c r="B117" s="109"/>
      <c r="C117" s="94">
        <v>2020</v>
      </c>
      <c r="D117" s="98">
        <v>0.53059999999999996</v>
      </c>
      <c r="E117" s="98">
        <v>32.243600000000001</v>
      </c>
      <c r="F117" s="98">
        <v>2.1598924046038609E-2</v>
      </c>
      <c r="G117" s="98">
        <v>0.60429999999999995</v>
      </c>
      <c r="H117" s="98">
        <v>-0.28012647551442371</v>
      </c>
      <c r="I117" s="100">
        <v>0.66666666666666663</v>
      </c>
      <c r="J117" s="100">
        <v>0.6</v>
      </c>
      <c r="K117" s="99">
        <v>1.5721820131816967E-3</v>
      </c>
      <c r="L117" s="98">
        <v>0.66669999999999996</v>
      </c>
    </row>
    <row r="118" spans="2:12" x14ac:dyDescent="0.25">
      <c r="B118" s="109"/>
      <c r="C118" s="94">
        <v>2021</v>
      </c>
      <c r="D118" s="98">
        <v>0.55100000000000005</v>
      </c>
      <c r="E118" s="98">
        <v>32.371600000000001</v>
      </c>
      <c r="F118" s="98">
        <v>1.7005325903277461E-2</v>
      </c>
      <c r="G118" s="98">
        <v>0.64580000000000004</v>
      </c>
      <c r="H118" s="98">
        <v>-9.7630907549551754E-2</v>
      </c>
      <c r="I118" s="100">
        <v>1</v>
      </c>
      <c r="J118" s="100">
        <v>0.8</v>
      </c>
      <c r="K118" s="99">
        <v>1.3981315615711613E-3</v>
      </c>
      <c r="L118" s="98">
        <v>0.61109999999999998</v>
      </c>
    </row>
    <row r="119" spans="2:12" ht="13.8" customHeight="1" thickBot="1" x14ac:dyDescent="0.3">
      <c r="B119" s="110"/>
      <c r="C119" s="94">
        <v>2022</v>
      </c>
      <c r="D119" s="98">
        <v>0.50339999999999996</v>
      </c>
      <c r="E119" s="98">
        <v>32.394300000000001</v>
      </c>
      <c r="F119" s="98">
        <v>1.8682719237705751E-2</v>
      </c>
      <c r="G119" s="98">
        <v>0.64549999999999996</v>
      </c>
      <c r="H119" s="98">
        <v>-2.9922290207314531E-2</v>
      </c>
      <c r="I119" s="100">
        <v>0.66666666666666663</v>
      </c>
      <c r="J119" s="100">
        <v>0.8</v>
      </c>
      <c r="K119" s="99">
        <v>2.0108379397825765E-3</v>
      </c>
      <c r="L119" s="98">
        <v>0.72219999999999995</v>
      </c>
    </row>
    <row r="120" spans="2:12" ht="13.8" customHeight="1" x14ac:dyDescent="0.25">
      <c r="B120" s="108" t="s">
        <v>184</v>
      </c>
      <c r="C120" s="94">
        <v>2018</v>
      </c>
      <c r="D120" s="98">
        <v>0.53739999999999999</v>
      </c>
      <c r="E120" s="98">
        <v>30.346900000000002</v>
      </c>
      <c r="F120" s="98">
        <v>3.9367558810750006E-2</v>
      </c>
      <c r="G120" s="98">
        <v>0.56859999999999999</v>
      </c>
      <c r="H120" s="98">
        <v>-0.23003582594036415</v>
      </c>
      <c r="I120" s="100">
        <v>1</v>
      </c>
      <c r="J120" s="100">
        <v>0.8</v>
      </c>
      <c r="K120" s="99">
        <v>9.9712005815868663E-4</v>
      </c>
      <c r="L120" s="98">
        <v>0.5</v>
      </c>
    </row>
    <row r="121" spans="2:12" ht="13.8" customHeight="1" x14ac:dyDescent="0.25">
      <c r="B121" s="109"/>
      <c r="C121" s="94">
        <v>2019</v>
      </c>
      <c r="D121" s="98">
        <v>0.49659999999999999</v>
      </c>
      <c r="E121" s="98">
        <v>30.6447</v>
      </c>
      <c r="F121" s="98">
        <v>-3.445869986002513E-2</v>
      </c>
      <c r="G121" s="98">
        <v>0.74170000000000003</v>
      </c>
      <c r="H121" s="98">
        <v>-0.17396193485884354</v>
      </c>
      <c r="I121" s="100">
        <v>0.66666666666666663</v>
      </c>
      <c r="J121" s="100">
        <v>0.6</v>
      </c>
      <c r="K121" s="99">
        <v>6.6502017127805044E-4</v>
      </c>
      <c r="L121" s="98">
        <v>0.55559999999999998</v>
      </c>
    </row>
    <row r="122" spans="2:12" ht="13.8" customHeight="1" x14ac:dyDescent="0.25">
      <c r="B122" s="109"/>
      <c r="C122" s="94">
        <v>2020</v>
      </c>
      <c r="D122" s="98">
        <v>0.55779999999999996</v>
      </c>
      <c r="E122" s="98">
        <v>30.3064</v>
      </c>
      <c r="F122" s="98">
        <v>-1.9530503445370447E-2</v>
      </c>
      <c r="G122" s="98">
        <v>0.65969999999999995</v>
      </c>
      <c r="H122" s="98">
        <v>0.92084519361347894</v>
      </c>
      <c r="I122" s="100">
        <v>1</v>
      </c>
      <c r="J122" s="100">
        <v>0.8</v>
      </c>
      <c r="K122" s="99">
        <v>4.9282508875372823E-4</v>
      </c>
      <c r="L122" s="98">
        <v>0.72219999999999995</v>
      </c>
    </row>
    <row r="123" spans="2:12" ht="13.8" customHeight="1" x14ac:dyDescent="0.25">
      <c r="B123" s="109"/>
      <c r="C123" s="94">
        <v>2021</v>
      </c>
      <c r="D123" s="98">
        <v>0.51700000000000002</v>
      </c>
      <c r="E123" s="98">
        <v>30.318300000000001</v>
      </c>
      <c r="F123" s="98">
        <v>8.9209276047959571E-2</v>
      </c>
      <c r="G123" s="98">
        <v>0.5706</v>
      </c>
      <c r="H123" s="98">
        <v>0.71041190716128588</v>
      </c>
      <c r="I123" s="100">
        <v>0.66666666666666663</v>
      </c>
      <c r="J123" s="100">
        <v>0.6</v>
      </c>
      <c r="K123" s="99">
        <v>3.6042501971786926E-4</v>
      </c>
      <c r="L123" s="98">
        <v>0.66669999999999996</v>
      </c>
    </row>
    <row r="124" spans="2:12" ht="13.8" thickBot="1" x14ac:dyDescent="0.3">
      <c r="B124" s="110"/>
      <c r="C124" s="95">
        <v>2022</v>
      </c>
      <c r="D124" s="98">
        <v>0.54420000000000002</v>
      </c>
      <c r="E124" s="98">
        <v>30.2011</v>
      </c>
      <c r="F124" s="98">
        <v>7.5046063355148698E-2</v>
      </c>
      <c r="G124" s="98">
        <v>0.46110000000000001</v>
      </c>
      <c r="H124" s="98">
        <v>1.2227362577610794</v>
      </c>
      <c r="I124" s="100">
        <v>0.66666666666666663</v>
      </c>
      <c r="J124" s="100">
        <v>0.4</v>
      </c>
      <c r="K124" s="99">
        <v>3.3026119738798019E-4</v>
      </c>
      <c r="L124" s="98">
        <v>0.5</v>
      </c>
    </row>
    <row r="125" spans="2:12" ht="13.8" customHeight="1" x14ac:dyDescent="0.25">
      <c r="B125" s="108" t="s">
        <v>185</v>
      </c>
      <c r="C125" s="96">
        <v>2018</v>
      </c>
      <c r="D125" s="98">
        <v>0.49659999999999999</v>
      </c>
      <c r="E125" s="98">
        <v>30.3538</v>
      </c>
      <c r="F125" s="98">
        <v>7.3218438385890372E-2</v>
      </c>
      <c r="G125" s="98">
        <v>0.48220000000000002</v>
      </c>
      <c r="H125" s="98">
        <v>0.2481285891871588</v>
      </c>
      <c r="I125" s="100">
        <v>0.66666666666666663</v>
      </c>
      <c r="J125" s="100">
        <v>0.6</v>
      </c>
      <c r="K125" s="99">
        <v>3.1052945285886692E-4</v>
      </c>
      <c r="L125" s="98">
        <v>0.5</v>
      </c>
    </row>
    <row r="126" spans="2:12" ht="13.8" customHeight="1" x14ac:dyDescent="0.25">
      <c r="B126" s="109"/>
      <c r="C126" s="94">
        <v>2019</v>
      </c>
      <c r="D126" s="98">
        <v>0.48980000000000001</v>
      </c>
      <c r="E126" s="98">
        <v>30.4129</v>
      </c>
      <c r="F126" s="98">
        <v>5.1393684644530334E-2</v>
      </c>
      <c r="G126" s="98">
        <v>0.49630000000000002</v>
      </c>
      <c r="H126" s="98">
        <v>4.3922779786619995E-3</v>
      </c>
      <c r="I126" s="100">
        <v>0.66666666666666663</v>
      </c>
      <c r="J126" s="100">
        <v>0.4</v>
      </c>
      <c r="K126" s="99">
        <v>1.5730685715651015E-4</v>
      </c>
      <c r="L126" s="98">
        <v>0.5</v>
      </c>
    </row>
    <row r="127" spans="2:12" ht="13.8" customHeight="1" x14ac:dyDescent="0.25">
      <c r="B127" s="109"/>
      <c r="C127" s="94">
        <v>2020</v>
      </c>
      <c r="D127" s="98">
        <v>0.55779999999999996</v>
      </c>
      <c r="E127" s="98">
        <v>29.9879</v>
      </c>
      <c r="F127" s="98">
        <v>-0.35646214938717402</v>
      </c>
      <c r="G127" s="98">
        <v>0.89039999999999997</v>
      </c>
      <c r="H127" s="98">
        <v>7.6246777191201084E-2</v>
      </c>
      <c r="I127" s="100">
        <v>1</v>
      </c>
      <c r="J127" s="100">
        <v>0.8</v>
      </c>
      <c r="K127" s="99">
        <v>2.0133005717881181E-4</v>
      </c>
      <c r="L127" s="98">
        <v>0.72219999999999995</v>
      </c>
    </row>
    <row r="128" spans="2:12" ht="13.8" customHeight="1" x14ac:dyDescent="0.25">
      <c r="B128" s="109"/>
      <c r="C128" s="94">
        <v>2021</v>
      </c>
      <c r="D128" s="98">
        <v>0.55779999999999996</v>
      </c>
      <c r="E128" s="98">
        <v>29.559899999999999</v>
      </c>
      <c r="F128" s="98">
        <v>-0.22286741850354788</v>
      </c>
      <c r="G128" s="98">
        <v>1.4036999999999999</v>
      </c>
      <c r="H128" s="98">
        <v>-1.9279731429222816E-3</v>
      </c>
      <c r="I128" s="100">
        <v>1</v>
      </c>
      <c r="J128" s="100">
        <v>0.8</v>
      </c>
      <c r="K128" s="99">
        <v>2.6366533266112153E-4</v>
      </c>
      <c r="L128" s="98">
        <v>0.72219999999999995</v>
      </c>
    </row>
    <row r="129" spans="2:12" ht="13.8" customHeight="1" thickBot="1" x14ac:dyDescent="0.3">
      <c r="B129" s="110"/>
      <c r="C129" s="97">
        <v>2022</v>
      </c>
      <c r="D129" s="98">
        <v>0.46939999999999998</v>
      </c>
      <c r="E129" s="98">
        <v>29.416699999999999</v>
      </c>
      <c r="F129" s="98">
        <v>0.10521307892138883</v>
      </c>
      <c r="G129" s="98">
        <v>1.3527</v>
      </c>
      <c r="H129" s="98">
        <v>2.3295696466975699E-2</v>
      </c>
      <c r="I129" s="100">
        <v>1</v>
      </c>
      <c r="J129" s="100">
        <v>0.8</v>
      </c>
      <c r="K129" s="99">
        <v>4.7729291970939478E-4</v>
      </c>
      <c r="L129" s="98">
        <v>0.83330000000000004</v>
      </c>
    </row>
    <row r="130" spans="2:12" x14ac:dyDescent="0.25">
      <c r="B130" s="108" t="s">
        <v>186</v>
      </c>
      <c r="C130" s="96">
        <v>2018</v>
      </c>
      <c r="D130" s="98">
        <v>0.48980000000000001</v>
      </c>
      <c r="E130" s="98">
        <v>29.815000000000001</v>
      </c>
      <c r="F130" s="98">
        <v>6.1021651169029877E-2</v>
      </c>
      <c r="G130" s="98">
        <v>0.64680000000000004</v>
      </c>
      <c r="H130" s="98">
        <v>0.13974210378826721</v>
      </c>
      <c r="I130" s="100">
        <v>0.66666666666666663</v>
      </c>
      <c r="J130" s="100">
        <v>0.4</v>
      </c>
      <c r="K130" s="99">
        <v>1.3318371851768517E-4</v>
      </c>
      <c r="L130" s="98">
        <v>0.33329999999999999</v>
      </c>
    </row>
    <row r="131" spans="2:12" ht="13.8" customHeight="1" x14ac:dyDescent="0.25">
      <c r="B131" s="109"/>
      <c r="C131" s="94">
        <v>2019</v>
      </c>
      <c r="D131" s="98">
        <v>0.53059999999999996</v>
      </c>
      <c r="E131" s="98">
        <v>29.966799999999999</v>
      </c>
      <c r="F131" s="98">
        <v>5.3144683899951778E-2</v>
      </c>
      <c r="G131" s="98">
        <v>0.66059999999999997</v>
      </c>
      <c r="H131" s="98">
        <v>0.20427499398925011</v>
      </c>
      <c r="I131" s="100">
        <v>1</v>
      </c>
      <c r="J131" s="100">
        <v>0.8</v>
      </c>
      <c r="K131" s="99">
        <v>1.0387419082331978E-4</v>
      </c>
      <c r="L131" s="98">
        <v>0.55559999999999998</v>
      </c>
    </row>
    <row r="132" spans="2:12" ht="13.8" customHeight="1" x14ac:dyDescent="0.25">
      <c r="B132" s="109"/>
      <c r="C132" s="94">
        <v>2020</v>
      </c>
      <c r="D132" s="98">
        <v>0.54420000000000002</v>
      </c>
      <c r="E132" s="98">
        <v>29.772099999999998</v>
      </c>
      <c r="F132" s="98">
        <v>1.3068143671771214E-2</v>
      </c>
      <c r="G132" s="98">
        <v>0.60150000000000003</v>
      </c>
      <c r="H132" s="98">
        <v>0.17066680123439718</v>
      </c>
      <c r="I132" s="100">
        <v>1</v>
      </c>
      <c r="J132" s="100">
        <v>0.8</v>
      </c>
      <c r="K132" s="99">
        <v>1.5092360854187885E-4</v>
      </c>
      <c r="L132" s="98">
        <v>0.77780000000000005</v>
      </c>
    </row>
    <row r="133" spans="2:12" ht="13.8" customHeight="1" x14ac:dyDescent="0.25">
      <c r="B133" s="109"/>
      <c r="C133" s="94">
        <v>2021</v>
      </c>
      <c r="D133" s="98">
        <v>0.48299999999999998</v>
      </c>
      <c r="E133" s="98">
        <v>29.837399999999999</v>
      </c>
      <c r="F133" s="98">
        <v>9.2583152499790822E-3</v>
      </c>
      <c r="G133" s="98">
        <v>0.61629999999999996</v>
      </c>
      <c r="H133" s="98">
        <v>6.9277967935764606E-3</v>
      </c>
      <c r="I133" s="100">
        <v>1</v>
      </c>
      <c r="J133" s="100">
        <v>1</v>
      </c>
      <c r="K133" s="99">
        <v>4.3395488557244563E-4</v>
      </c>
      <c r="L133" s="98">
        <v>0.88890000000000002</v>
      </c>
    </row>
    <row r="134" spans="2:12" ht="13.8" customHeight="1" thickBot="1" x14ac:dyDescent="0.3">
      <c r="B134" s="110"/>
      <c r="C134" s="97">
        <v>2022</v>
      </c>
      <c r="D134" s="98">
        <v>0.53739999999999999</v>
      </c>
      <c r="E134" s="98">
        <v>29.876799999999999</v>
      </c>
      <c r="F134" s="98">
        <v>1.8462998398155184E-2</v>
      </c>
      <c r="G134" s="98">
        <v>0.6149</v>
      </c>
      <c r="H134" s="98">
        <v>4.666406930212046E-3</v>
      </c>
      <c r="I134" s="100">
        <v>1</v>
      </c>
      <c r="J134" s="100">
        <v>1</v>
      </c>
      <c r="K134" s="99">
        <v>4.3400989574667118E-4</v>
      </c>
      <c r="L134" s="98">
        <v>1</v>
      </c>
    </row>
    <row r="135" spans="2:12" ht="13.8" customHeight="1" x14ac:dyDescent="0.25"/>
    <row r="137" spans="2:12" ht="13.8" customHeight="1" x14ac:dyDescent="0.25"/>
    <row r="138" spans="2:12" ht="13.8" customHeight="1" x14ac:dyDescent="0.25"/>
    <row r="139" spans="2:12" ht="13.8" customHeight="1" x14ac:dyDescent="0.25">
      <c r="D139" t="s">
        <v>19</v>
      </c>
    </row>
    <row r="140" spans="2:12" ht="13.8" customHeight="1" x14ac:dyDescent="0.25">
      <c r="D140">
        <v>1</v>
      </c>
    </row>
    <row r="141" spans="2:12" ht="13.8" customHeight="1" x14ac:dyDescent="0.25">
      <c r="D141">
        <v>1</v>
      </c>
    </row>
    <row r="142" spans="2:12" x14ac:dyDescent="0.25">
      <c r="D142">
        <v>1</v>
      </c>
    </row>
    <row r="143" spans="2:12" ht="13.8" customHeight="1" x14ac:dyDescent="0.25">
      <c r="D143">
        <v>1</v>
      </c>
    </row>
    <row r="144" spans="2:12" ht="13.8" customHeight="1" x14ac:dyDescent="0.25">
      <c r="D144">
        <v>1</v>
      </c>
    </row>
    <row r="145" spans="4:4" ht="13.8" customHeight="1" x14ac:dyDescent="0.25">
      <c r="D145">
        <v>1</v>
      </c>
    </row>
    <row r="146" spans="4:4" ht="13.8" customHeight="1" x14ac:dyDescent="0.25">
      <c r="D146">
        <v>1</v>
      </c>
    </row>
    <row r="147" spans="4:4" ht="13.8" customHeight="1" x14ac:dyDescent="0.25">
      <c r="D147">
        <v>1</v>
      </c>
    </row>
    <row r="148" spans="4:4" x14ac:dyDescent="0.25">
      <c r="D148">
        <v>1</v>
      </c>
    </row>
    <row r="149" spans="4:4" ht="13.8" customHeight="1" x14ac:dyDescent="0.25">
      <c r="D149">
        <v>1</v>
      </c>
    </row>
    <row r="150" spans="4:4" ht="13.8" customHeight="1" x14ac:dyDescent="0.25">
      <c r="D150">
        <v>1</v>
      </c>
    </row>
    <row r="151" spans="4:4" ht="13.8" customHeight="1" x14ac:dyDescent="0.25">
      <c r="D151">
        <v>1</v>
      </c>
    </row>
    <row r="152" spans="4:4" ht="13.8" customHeight="1" x14ac:dyDescent="0.25">
      <c r="D152">
        <v>1</v>
      </c>
    </row>
    <row r="153" spans="4:4" ht="13.8" customHeight="1" x14ac:dyDescent="0.25">
      <c r="D153">
        <v>1</v>
      </c>
    </row>
    <row r="154" spans="4:4" x14ac:dyDescent="0.25">
      <c r="D154">
        <v>1</v>
      </c>
    </row>
    <row r="155" spans="4:4" ht="13.8" customHeight="1" x14ac:dyDescent="0.25">
      <c r="D155">
        <v>1</v>
      </c>
    </row>
    <row r="156" spans="4:4" ht="13.8" customHeight="1" x14ac:dyDescent="0.25">
      <c r="D156">
        <v>1</v>
      </c>
    </row>
    <row r="157" spans="4:4" ht="13.8" customHeight="1" x14ac:dyDescent="0.25">
      <c r="D157">
        <v>1</v>
      </c>
    </row>
    <row r="158" spans="4:4" ht="13.8" customHeight="1" x14ac:dyDescent="0.25">
      <c r="D158">
        <v>1</v>
      </c>
    </row>
    <row r="159" spans="4:4" ht="13.8" customHeight="1" x14ac:dyDescent="0.25">
      <c r="D159">
        <v>1</v>
      </c>
    </row>
    <row r="160" spans="4:4" x14ac:dyDescent="0.25">
      <c r="D160">
        <v>1</v>
      </c>
    </row>
    <row r="161" spans="4:4" x14ac:dyDescent="0.25">
      <c r="D161">
        <v>1</v>
      </c>
    </row>
    <row r="162" spans="4:4" x14ac:dyDescent="0.25">
      <c r="D162">
        <v>1</v>
      </c>
    </row>
    <row r="163" spans="4:4" x14ac:dyDescent="0.25">
      <c r="D163">
        <v>1</v>
      </c>
    </row>
    <row r="164" spans="4:4" x14ac:dyDescent="0.25">
      <c r="D164">
        <v>1</v>
      </c>
    </row>
    <row r="165" spans="4:4" x14ac:dyDescent="0.25">
      <c r="D165">
        <v>1</v>
      </c>
    </row>
    <row r="166" spans="4:4" x14ac:dyDescent="0.25">
      <c r="D166">
        <v>1</v>
      </c>
    </row>
    <row r="167" spans="4:4" x14ac:dyDescent="0.25">
      <c r="D167">
        <v>1</v>
      </c>
    </row>
    <row r="168" spans="4:4" x14ac:dyDescent="0.25">
      <c r="D168">
        <v>1</v>
      </c>
    </row>
    <row r="169" spans="4:4" x14ac:dyDescent="0.25">
      <c r="D169">
        <v>1</v>
      </c>
    </row>
    <row r="170" spans="4:4" x14ac:dyDescent="0.25">
      <c r="D170">
        <v>1</v>
      </c>
    </row>
    <row r="171" spans="4:4" x14ac:dyDescent="0.25">
      <c r="D171">
        <v>1</v>
      </c>
    </row>
    <row r="172" spans="4:4" x14ac:dyDescent="0.25">
      <c r="D172">
        <v>1</v>
      </c>
    </row>
    <row r="173" spans="4:4" x14ac:dyDescent="0.25">
      <c r="D173">
        <v>1</v>
      </c>
    </row>
    <row r="174" spans="4:4" x14ac:dyDescent="0.25">
      <c r="D174">
        <v>1</v>
      </c>
    </row>
    <row r="175" spans="4:4" x14ac:dyDescent="0.25">
      <c r="D175">
        <v>1</v>
      </c>
    </row>
    <row r="176" spans="4:4" x14ac:dyDescent="0.25">
      <c r="D176">
        <v>1</v>
      </c>
    </row>
    <row r="177" spans="4:4" x14ac:dyDescent="0.25">
      <c r="D177">
        <v>1</v>
      </c>
    </row>
    <row r="178" spans="4:4" x14ac:dyDescent="0.25">
      <c r="D178">
        <v>1</v>
      </c>
    </row>
    <row r="179" spans="4:4" x14ac:dyDescent="0.25">
      <c r="D179">
        <v>1</v>
      </c>
    </row>
    <row r="180" spans="4:4" x14ac:dyDescent="0.25">
      <c r="D180">
        <v>1</v>
      </c>
    </row>
    <row r="181" spans="4:4" x14ac:dyDescent="0.25">
      <c r="D181">
        <v>1</v>
      </c>
    </row>
    <row r="182" spans="4:4" x14ac:dyDescent="0.25">
      <c r="D182">
        <v>1</v>
      </c>
    </row>
    <row r="183" spans="4:4" x14ac:dyDescent="0.25">
      <c r="D183">
        <v>1</v>
      </c>
    </row>
    <row r="184" spans="4:4" x14ac:dyDescent="0.25">
      <c r="D184">
        <v>1</v>
      </c>
    </row>
    <row r="185" spans="4:4" x14ac:dyDescent="0.25">
      <c r="D185">
        <v>1</v>
      </c>
    </row>
    <row r="186" spans="4:4" x14ac:dyDescent="0.25">
      <c r="D186">
        <v>1</v>
      </c>
    </row>
    <row r="187" spans="4:4" x14ac:dyDescent="0.25">
      <c r="D187">
        <v>1</v>
      </c>
    </row>
    <row r="188" spans="4:4" x14ac:dyDescent="0.25">
      <c r="D188">
        <v>1</v>
      </c>
    </row>
    <row r="189" spans="4:4" x14ac:dyDescent="0.25">
      <c r="D189">
        <v>1</v>
      </c>
    </row>
    <row r="190" spans="4:4" x14ac:dyDescent="0.25">
      <c r="D190">
        <v>1</v>
      </c>
    </row>
    <row r="191" spans="4:4" x14ac:dyDescent="0.25">
      <c r="D191">
        <v>1</v>
      </c>
    </row>
    <row r="192" spans="4:4" x14ac:dyDescent="0.25">
      <c r="D192">
        <v>1</v>
      </c>
    </row>
    <row r="193" spans="4:4" x14ac:dyDescent="0.25">
      <c r="D193">
        <v>1</v>
      </c>
    </row>
    <row r="194" spans="4:4" x14ac:dyDescent="0.25">
      <c r="D194">
        <v>1</v>
      </c>
    </row>
    <row r="195" spans="4:4" x14ac:dyDescent="0.25">
      <c r="D195">
        <v>1</v>
      </c>
    </row>
    <row r="196" spans="4:4" x14ac:dyDescent="0.25">
      <c r="D196">
        <v>1</v>
      </c>
    </row>
    <row r="197" spans="4:4" x14ac:dyDescent="0.25">
      <c r="D197">
        <v>1</v>
      </c>
    </row>
    <row r="198" spans="4:4" x14ac:dyDescent="0.25">
      <c r="D198">
        <v>1</v>
      </c>
    </row>
    <row r="199" spans="4:4" x14ac:dyDescent="0.25">
      <c r="D199">
        <v>1</v>
      </c>
    </row>
    <row r="200" spans="4:4" x14ac:dyDescent="0.25">
      <c r="D200">
        <v>1</v>
      </c>
    </row>
    <row r="201" spans="4:4" x14ac:dyDescent="0.25">
      <c r="D201">
        <v>1</v>
      </c>
    </row>
    <row r="202" spans="4:4" x14ac:dyDescent="0.25">
      <c r="D202">
        <v>1</v>
      </c>
    </row>
    <row r="203" spans="4:4" x14ac:dyDescent="0.25">
      <c r="D203">
        <v>1</v>
      </c>
    </row>
    <row r="204" spans="4:4" x14ac:dyDescent="0.25">
      <c r="D204">
        <v>1</v>
      </c>
    </row>
    <row r="205" spans="4:4" x14ac:dyDescent="0.25">
      <c r="D205">
        <v>1</v>
      </c>
    </row>
    <row r="206" spans="4:4" x14ac:dyDescent="0.25">
      <c r="D206">
        <v>1</v>
      </c>
    </row>
    <row r="207" spans="4:4" x14ac:dyDescent="0.25">
      <c r="D207">
        <v>1</v>
      </c>
    </row>
    <row r="208" spans="4:4" x14ac:dyDescent="0.25">
      <c r="D208">
        <v>1</v>
      </c>
    </row>
    <row r="209" spans="4:4" x14ac:dyDescent="0.25">
      <c r="D209">
        <v>1</v>
      </c>
    </row>
    <row r="210" spans="4:4" x14ac:dyDescent="0.25">
      <c r="D210">
        <v>1</v>
      </c>
    </row>
    <row r="211" spans="4:4" x14ac:dyDescent="0.25">
      <c r="D211">
        <v>1</v>
      </c>
    </row>
    <row r="212" spans="4:4" x14ac:dyDescent="0.25">
      <c r="D212">
        <v>1</v>
      </c>
    </row>
    <row r="213" spans="4:4" x14ac:dyDescent="0.25">
      <c r="D213">
        <v>1</v>
      </c>
    </row>
    <row r="214" spans="4:4" x14ac:dyDescent="0.25">
      <c r="D214">
        <v>1</v>
      </c>
    </row>
    <row r="215" spans="4:4" x14ac:dyDescent="0.25">
      <c r="D215">
        <v>1</v>
      </c>
    </row>
    <row r="216" spans="4:4" x14ac:dyDescent="0.25">
      <c r="D216">
        <v>1</v>
      </c>
    </row>
    <row r="217" spans="4:4" x14ac:dyDescent="0.25">
      <c r="D217">
        <v>1</v>
      </c>
    </row>
    <row r="218" spans="4:4" x14ac:dyDescent="0.25">
      <c r="D218">
        <v>1</v>
      </c>
    </row>
    <row r="219" spans="4:4" x14ac:dyDescent="0.25">
      <c r="D219">
        <v>1</v>
      </c>
    </row>
    <row r="220" spans="4:4" x14ac:dyDescent="0.25">
      <c r="D220">
        <v>1</v>
      </c>
    </row>
    <row r="221" spans="4:4" x14ac:dyDescent="0.25">
      <c r="D221">
        <v>1</v>
      </c>
    </row>
    <row r="222" spans="4:4" x14ac:dyDescent="0.25">
      <c r="D222">
        <v>1</v>
      </c>
    </row>
    <row r="223" spans="4:4" x14ac:dyDescent="0.25">
      <c r="D223">
        <v>1</v>
      </c>
    </row>
    <row r="224" spans="4:4" x14ac:dyDescent="0.25">
      <c r="D224">
        <v>1</v>
      </c>
    </row>
    <row r="225" spans="4:4" x14ac:dyDescent="0.25">
      <c r="D225">
        <v>1</v>
      </c>
    </row>
    <row r="226" spans="4:4" x14ac:dyDescent="0.25">
      <c r="D226">
        <v>1</v>
      </c>
    </row>
    <row r="227" spans="4:4" x14ac:dyDescent="0.25">
      <c r="D227">
        <v>1</v>
      </c>
    </row>
    <row r="228" spans="4:4" x14ac:dyDescent="0.25">
      <c r="D228">
        <v>1</v>
      </c>
    </row>
    <row r="229" spans="4:4" x14ac:dyDescent="0.25">
      <c r="D229">
        <v>1</v>
      </c>
    </row>
    <row r="230" spans="4:4" x14ac:dyDescent="0.25">
      <c r="D230">
        <v>1</v>
      </c>
    </row>
    <row r="231" spans="4:4" x14ac:dyDescent="0.25">
      <c r="D231">
        <v>1</v>
      </c>
    </row>
    <row r="232" spans="4:4" x14ac:dyDescent="0.25">
      <c r="D232">
        <v>1</v>
      </c>
    </row>
    <row r="233" spans="4:4" x14ac:dyDescent="0.25">
      <c r="D233">
        <v>1</v>
      </c>
    </row>
    <row r="234" spans="4:4" x14ac:dyDescent="0.25">
      <c r="D234">
        <v>1</v>
      </c>
    </row>
    <row r="235" spans="4:4" x14ac:dyDescent="0.25">
      <c r="D235">
        <v>1</v>
      </c>
    </row>
    <row r="236" spans="4:4" x14ac:dyDescent="0.25">
      <c r="D236">
        <v>1</v>
      </c>
    </row>
    <row r="237" spans="4:4" x14ac:dyDescent="0.25">
      <c r="D237">
        <v>1</v>
      </c>
    </row>
    <row r="238" spans="4:4" x14ac:dyDescent="0.25">
      <c r="D238">
        <v>1</v>
      </c>
    </row>
    <row r="239" spans="4:4" x14ac:dyDescent="0.25">
      <c r="D239">
        <v>1</v>
      </c>
    </row>
    <row r="240" spans="4:4" x14ac:dyDescent="0.25">
      <c r="D240">
        <v>1</v>
      </c>
    </row>
    <row r="241" spans="4:4" x14ac:dyDescent="0.25">
      <c r="D241">
        <v>1</v>
      </c>
    </row>
    <row r="242" spans="4:4" x14ac:dyDescent="0.25">
      <c r="D242">
        <v>1</v>
      </c>
    </row>
    <row r="243" spans="4:4" x14ac:dyDescent="0.25">
      <c r="D243">
        <v>1</v>
      </c>
    </row>
    <row r="244" spans="4:4" x14ac:dyDescent="0.25">
      <c r="D244">
        <v>1</v>
      </c>
    </row>
    <row r="245" spans="4:4" x14ac:dyDescent="0.25">
      <c r="D245">
        <v>1</v>
      </c>
    </row>
    <row r="246" spans="4:4" x14ac:dyDescent="0.25">
      <c r="D246">
        <v>1</v>
      </c>
    </row>
    <row r="247" spans="4:4" x14ac:dyDescent="0.25">
      <c r="D247">
        <v>1</v>
      </c>
    </row>
    <row r="248" spans="4:4" x14ac:dyDescent="0.25">
      <c r="D248">
        <v>1</v>
      </c>
    </row>
    <row r="249" spans="4:4" x14ac:dyDescent="0.25">
      <c r="D249">
        <v>1</v>
      </c>
    </row>
    <row r="250" spans="4:4" x14ac:dyDescent="0.25">
      <c r="D250">
        <v>1</v>
      </c>
    </row>
    <row r="251" spans="4:4" x14ac:dyDescent="0.25">
      <c r="D251">
        <v>1</v>
      </c>
    </row>
    <row r="252" spans="4:4" x14ac:dyDescent="0.25">
      <c r="D252">
        <v>1</v>
      </c>
    </row>
    <row r="253" spans="4:4" x14ac:dyDescent="0.25">
      <c r="D253">
        <v>1</v>
      </c>
    </row>
    <row r="254" spans="4:4" x14ac:dyDescent="0.25">
      <c r="D254">
        <v>1</v>
      </c>
    </row>
    <row r="255" spans="4:4" x14ac:dyDescent="0.25">
      <c r="D255">
        <v>1</v>
      </c>
    </row>
    <row r="256" spans="4:4" x14ac:dyDescent="0.25">
      <c r="D256">
        <v>1</v>
      </c>
    </row>
    <row r="257" spans="4:4" x14ac:dyDescent="0.25">
      <c r="D257">
        <v>1</v>
      </c>
    </row>
    <row r="258" spans="4:4" x14ac:dyDescent="0.25">
      <c r="D258">
        <v>1</v>
      </c>
    </row>
    <row r="259" spans="4:4" x14ac:dyDescent="0.25">
      <c r="D259">
        <v>1</v>
      </c>
    </row>
    <row r="260" spans="4:4" x14ac:dyDescent="0.25">
      <c r="D260">
        <v>1</v>
      </c>
    </row>
    <row r="261" spans="4:4" x14ac:dyDescent="0.25">
      <c r="D261">
        <v>1</v>
      </c>
    </row>
    <row r="262" spans="4:4" x14ac:dyDescent="0.25">
      <c r="D262">
        <v>1</v>
      </c>
    </row>
    <row r="263" spans="4:4" x14ac:dyDescent="0.25">
      <c r="D263">
        <v>1</v>
      </c>
    </row>
    <row r="264" spans="4:4" x14ac:dyDescent="0.25">
      <c r="D264">
        <v>1</v>
      </c>
    </row>
    <row r="265" spans="4:4" x14ac:dyDescent="0.25">
      <c r="D265">
        <v>1</v>
      </c>
    </row>
    <row r="266" spans="4:4" x14ac:dyDescent="0.25">
      <c r="D266">
        <v>1</v>
      </c>
    </row>
    <row r="267" spans="4:4" x14ac:dyDescent="0.25">
      <c r="D267">
        <v>1</v>
      </c>
    </row>
    <row r="268" spans="4:4" x14ac:dyDescent="0.25">
      <c r="D268">
        <v>1</v>
      </c>
    </row>
    <row r="269" spans="4:4" x14ac:dyDescent="0.25">
      <c r="D269">
        <v>1</v>
      </c>
    </row>
    <row r="273" spans="4:4" x14ac:dyDescent="0.25">
      <c r="D273" t="s">
        <v>99</v>
      </c>
    </row>
    <row r="274" spans="4:4" x14ac:dyDescent="0.25">
      <c r="D274">
        <v>1</v>
      </c>
    </row>
    <row r="275" spans="4:4" x14ac:dyDescent="0.25">
      <c r="D275">
        <v>1</v>
      </c>
    </row>
    <row r="276" spans="4:4" x14ac:dyDescent="0.25">
      <c r="D276">
        <v>1</v>
      </c>
    </row>
    <row r="277" spans="4:4" x14ac:dyDescent="0.25">
      <c r="D277">
        <v>0</v>
      </c>
    </row>
    <row r="278" spans="4:4" x14ac:dyDescent="0.25">
      <c r="D278">
        <v>0</v>
      </c>
    </row>
    <row r="279" spans="4:4" x14ac:dyDescent="0.25">
      <c r="D279">
        <v>1</v>
      </c>
    </row>
    <row r="280" spans="4:4" x14ac:dyDescent="0.25">
      <c r="D280">
        <v>0</v>
      </c>
    </row>
    <row r="281" spans="4:4" x14ac:dyDescent="0.25">
      <c r="D281">
        <v>0</v>
      </c>
    </row>
    <row r="282" spans="4:4" x14ac:dyDescent="0.25">
      <c r="D282">
        <v>1</v>
      </c>
    </row>
    <row r="283" spans="4:4" x14ac:dyDescent="0.25">
      <c r="D283">
        <v>1</v>
      </c>
    </row>
    <row r="284" spans="4:4" x14ac:dyDescent="0.25">
      <c r="D284">
        <v>1</v>
      </c>
    </row>
    <row r="285" spans="4:4" x14ac:dyDescent="0.25">
      <c r="D285">
        <v>1</v>
      </c>
    </row>
    <row r="286" spans="4:4" x14ac:dyDescent="0.25">
      <c r="D286">
        <v>0</v>
      </c>
    </row>
    <row r="287" spans="4:4" x14ac:dyDescent="0.25">
      <c r="D287">
        <v>0</v>
      </c>
    </row>
    <row r="288" spans="4:4" x14ac:dyDescent="0.25">
      <c r="D288">
        <v>1</v>
      </c>
    </row>
    <row r="289" spans="4:4" x14ac:dyDescent="0.25">
      <c r="D289">
        <v>1</v>
      </c>
    </row>
    <row r="290" spans="4:4" x14ac:dyDescent="0.25">
      <c r="D290">
        <v>0</v>
      </c>
    </row>
    <row r="291" spans="4:4" x14ac:dyDescent="0.25">
      <c r="D291">
        <v>1</v>
      </c>
    </row>
    <row r="292" spans="4:4" x14ac:dyDescent="0.25">
      <c r="D292">
        <v>1</v>
      </c>
    </row>
    <row r="293" spans="4:4" x14ac:dyDescent="0.25">
      <c r="D293">
        <v>0</v>
      </c>
    </row>
    <row r="294" spans="4:4" x14ac:dyDescent="0.25">
      <c r="D294">
        <v>1</v>
      </c>
    </row>
    <row r="295" spans="4:4" x14ac:dyDescent="0.25">
      <c r="D295">
        <v>1</v>
      </c>
    </row>
    <row r="296" spans="4:4" x14ac:dyDescent="0.25">
      <c r="D296">
        <v>1</v>
      </c>
    </row>
    <row r="297" spans="4:4" x14ac:dyDescent="0.25">
      <c r="D297">
        <v>1</v>
      </c>
    </row>
    <row r="298" spans="4:4" x14ac:dyDescent="0.25">
      <c r="D298">
        <v>1</v>
      </c>
    </row>
    <row r="299" spans="4:4" x14ac:dyDescent="0.25">
      <c r="D299">
        <v>0</v>
      </c>
    </row>
    <row r="300" spans="4:4" x14ac:dyDescent="0.25">
      <c r="D300">
        <v>0</v>
      </c>
    </row>
    <row r="301" spans="4:4" x14ac:dyDescent="0.25">
      <c r="D301">
        <v>1</v>
      </c>
    </row>
    <row r="302" spans="4:4" x14ac:dyDescent="0.25">
      <c r="D302">
        <v>0</v>
      </c>
    </row>
    <row r="303" spans="4:4" x14ac:dyDescent="0.25">
      <c r="D303">
        <v>0</v>
      </c>
    </row>
    <row r="304" spans="4:4" x14ac:dyDescent="0.25">
      <c r="D304">
        <v>0</v>
      </c>
    </row>
    <row r="305" spans="4:4" x14ac:dyDescent="0.25">
      <c r="D305">
        <v>0</v>
      </c>
    </row>
    <row r="306" spans="4:4" x14ac:dyDescent="0.25">
      <c r="D306">
        <v>1</v>
      </c>
    </row>
    <row r="307" spans="4:4" x14ac:dyDescent="0.25">
      <c r="D307">
        <v>0</v>
      </c>
    </row>
    <row r="308" spans="4:4" x14ac:dyDescent="0.25">
      <c r="D308">
        <v>1</v>
      </c>
    </row>
    <row r="309" spans="4:4" x14ac:dyDescent="0.25">
      <c r="D309">
        <v>0</v>
      </c>
    </row>
    <row r="310" spans="4:4" x14ac:dyDescent="0.25">
      <c r="D310">
        <v>0</v>
      </c>
    </row>
    <row r="311" spans="4:4" x14ac:dyDescent="0.25">
      <c r="D311">
        <v>0</v>
      </c>
    </row>
    <row r="312" spans="4:4" x14ac:dyDescent="0.25">
      <c r="D312">
        <v>0</v>
      </c>
    </row>
    <row r="313" spans="4:4" x14ac:dyDescent="0.25">
      <c r="D313">
        <v>1</v>
      </c>
    </row>
    <row r="314" spans="4:4" x14ac:dyDescent="0.25">
      <c r="D314">
        <v>1</v>
      </c>
    </row>
    <row r="315" spans="4:4" x14ac:dyDescent="0.25">
      <c r="D315">
        <v>1</v>
      </c>
    </row>
    <row r="316" spans="4:4" x14ac:dyDescent="0.25">
      <c r="D316">
        <v>0</v>
      </c>
    </row>
    <row r="317" spans="4:4" x14ac:dyDescent="0.25">
      <c r="D317">
        <v>1</v>
      </c>
    </row>
    <row r="318" spans="4:4" x14ac:dyDescent="0.25">
      <c r="D318">
        <v>0</v>
      </c>
    </row>
    <row r="319" spans="4:4" x14ac:dyDescent="0.25">
      <c r="D319">
        <v>1</v>
      </c>
    </row>
    <row r="320" spans="4:4" x14ac:dyDescent="0.25">
      <c r="D320">
        <v>1</v>
      </c>
    </row>
    <row r="321" spans="4:4" x14ac:dyDescent="0.25">
      <c r="D321">
        <v>1</v>
      </c>
    </row>
    <row r="322" spans="4:4" x14ac:dyDescent="0.25">
      <c r="D322">
        <v>1</v>
      </c>
    </row>
    <row r="323" spans="4:4" x14ac:dyDescent="0.25">
      <c r="D323">
        <v>0</v>
      </c>
    </row>
    <row r="324" spans="4:4" x14ac:dyDescent="0.25">
      <c r="D324">
        <v>1</v>
      </c>
    </row>
    <row r="325" spans="4:4" x14ac:dyDescent="0.25">
      <c r="D325">
        <v>1</v>
      </c>
    </row>
    <row r="326" spans="4:4" x14ac:dyDescent="0.25">
      <c r="D326">
        <v>1</v>
      </c>
    </row>
    <row r="327" spans="4:4" x14ac:dyDescent="0.25">
      <c r="D327">
        <v>1</v>
      </c>
    </row>
    <row r="328" spans="4:4" x14ac:dyDescent="0.25">
      <c r="D328">
        <v>0</v>
      </c>
    </row>
    <row r="329" spans="4:4" x14ac:dyDescent="0.25">
      <c r="D329">
        <v>1</v>
      </c>
    </row>
    <row r="330" spans="4:4" x14ac:dyDescent="0.25">
      <c r="D330">
        <v>1</v>
      </c>
    </row>
    <row r="331" spans="4:4" x14ac:dyDescent="0.25">
      <c r="D331">
        <v>0</v>
      </c>
    </row>
    <row r="332" spans="4:4" x14ac:dyDescent="0.25">
      <c r="D332">
        <v>0</v>
      </c>
    </row>
    <row r="333" spans="4:4" x14ac:dyDescent="0.25">
      <c r="D333">
        <v>1</v>
      </c>
    </row>
    <row r="334" spans="4:4" x14ac:dyDescent="0.25">
      <c r="D334">
        <v>0</v>
      </c>
    </row>
    <row r="335" spans="4:4" x14ac:dyDescent="0.25">
      <c r="D335">
        <v>1</v>
      </c>
    </row>
    <row r="336" spans="4:4" x14ac:dyDescent="0.25">
      <c r="D336">
        <v>0</v>
      </c>
    </row>
    <row r="337" spans="4:4" x14ac:dyDescent="0.25">
      <c r="D337">
        <v>0</v>
      </c>
    </row>
    <row r="338" spans="4:4" x14ac:dyDescent="0.25">
      <c r="D338">
        <v>1</v>
      </c>
    </row>
    <row r="339" spans="4:4" x14ac:dyDescent="0.25">
      <c r="D339">
        <v>0</v>
      </c>
    </row>
    <row r="340" spans="4:4" x14ac:dyDescent="0.25">
      <c r="D340">
        <v>1</v>
      </c>
    </row>
    <row r="341" spans="4:4" x14ac:dyDescent="0.25">
      <c r="D341">
        <v>1</v>
      </c>
    </row>
    <row r="342" spans="4:4" x14ac:dyDescent="0.25">
      <c r="D342">
        <v>1</v>
      </c>
    </row>
    <row r="343" spans="4:4" x14ac:dyDescent="0.25">
      <c r="D343">
        <v>0</v>
      </c>
    </row>
    <row r="344" spans="4:4" x14ac:dyDescent="0.25">
      <c r="D344">
        <v>1</v>
      </c>
    </row>
    <row r="345" spans="4:4" x14ac:dyDescent="0.25">
      <c r="D345">
        <v>1</v>
      </c>
    </row>
    <row r="346" spans="4:4" x14ac:dyDescent="0.25">
      <c r="D346">
        <v>0</v>
      </c>
    </row>
    <row r="347" spans="4:4" x14ac:dyDescent="0.25">
      <c r="D347">
        <v>0</v>
      </c>
    </row>
    <row r="348" spans="4:4" x14ac:dyDescent="0.25">
      <c r="D348">
        <v>1</v>
      </c>
    </row>
    <row r="349" spans="4:4" x14ac:dyDescent="0.25">
      <c r="D349">
        <v>0</v>
      </c>
    </row>
    <row r="350" spans="4:4" x14ac:dyDescent="0.25">
      <c r="D350">
        <v>1</v>
      </c>
    </row>
    <row r="351" spans="4:4" x14ac:dyDescent="0.25">
      <c r="D351">
        <v>1</v>
      </c>
    </row>
    <row r="352" spans="4:4" x14ac:dyDescent="0.25">
      <c r="D352">
        <v>0</v>
      </c>
    </row>
    <row r="353" spans="4:4" x14ac:dyDescent="0.25">
      <c r="D353">
        <v>1</v>
      </c>
    </row>
    <row r="354" spans="4:4" x14ac:dyDescent="0.25">
      <c r="D354">
        <v>1</v>
      </c>
    </row>
    <row r="355" spans="4:4" x14ac:dyDescent="0.25">
      <c r="D355">
        <v>0</v>
      </c>
    </row>
    <row r="356" spans="4:4" x14ac:dyDescent="0.25">
      <c r="D356">
        <v>1</v>
      </c>
    </row>
    <row r="357" spans="4:4" x14ac:dyDescent="0.25">
      <c r="D357">
        <v>1</v>
      </c>
    </row>
    <row r="358" spans="4:4" x14ac:dyDescent="0.25">
      <c r="D358">
        <v>0</v>
      </c>
    </row>
    <row r="359" spans="4:4" x14ac:dyDescent="0.25">
      <c r="D359">
        <v>0</v>
      </c>
    </row>
    <row r="360" spans="4:4" x14ac:dyDescent="0.25">
      <c r="D360">
        <v>0</v>
      </c>
    </row>
    <row r="361" spans="4:4" x14ac:dyDescent="0.25">
      <c r="D361">
        <v>0</v>
      </c>
    </row>
    <row r="362" spans="4:4" x14ac:dyDescent="0.25">
      <c r="D362">
        <v>0</v>
      </c>
    </row>
    <row r="363" spans="4:4" x14ac:dyDescent="0.25">
      <c r="D363">
        <v>0</v>
      </c>
    </row>
    <row r="364" spans="4:4" x14ac:dyDescent="0.25">
      <c r="D364">
        <v>0</v>
      </c>
    </row>
    <row r="365" spans="4:4" x14ac:dyDescent="0.25">
      <c r="D365">
        <v>1</v>
      </c>
    </row>
    <row r="366" spans="4:4" x14ac:dyDescent="0.25">
      <c r="D366">
        <v>1</v>
      </c>
    </row>
    <row r="367" spans="4:4" x14ac:dyDescent="0.25">
      <c r="D367">
        <v>1</v>
      </c>
    </row>
    <row r="368" spans="4:4" x14ac:dyDescent="0.25">
      <c r="D368">
        <v>1</v>
      </c>
    </row>
    <row r="369" spans="4:4" x14ac:dyDescent="0.25">
      <c r="D369">
        <v>1</v>
      </c>
    </row>
    <row r="370" spans="4:4" x14ac:dyDescent="0.25">
      <c r="D370">
        <v>0</v>
      </c>
    </row>
    <row r="371" spans="4:4" x14ac:dyDescent="0.25">
      <c r="D371">
        <v>0</v>
      </c>
    </row>
    <row r="372" spans="4:4" x14ac:dyDescent="0.25">
      <c r="D372">
        <v>0</v>
      </c>
    </row>
    <row r="373" spans="4:4" x14ac:dyDescent="0.25">
      <c r="D373">
        <v>1</v>
      </c>
    </row>
    <row r="374" spans="4:4" x14ac:dyDescent="0.25">
      <c r="D374">
        <v>1</v>
      </c>
    </row>
    <row r="375" spans="4:4" x14ac:dyDescent="0.25">
      <c r="D375">
        <v>0</v>
      </c>
    </row>
    <row r="376" spans="4:4" x14ac:dyDescent="0.25">
      <c r="D376">
        <v>0</v>
      </c>
    </row>
    <row r="377" spans="4:4" x14ac:dyDescent="0.25">
      <c r="D377">
        <v>0</v>
      </c>
    </row>
    <row r="378" spans="4:4" x14ac:dyDescent="0.25">
      <c r="D378">
        <v>1</v>
      </c>
    </row>
    <row r="379" spans="4:4" x14ac:dyDescent="0.25">
      <c r="D379">
        <v>0</v>
      </c>
    </row>
    <row r="380" spans="4:4" x14ac:dyDescent="0.25">
      <c r="D380">
        <v>0</v>
      </c>
    </row>
    <row r="381" spans="4:4" x14ac:dyDescent="0.25">
      <c r="D381">
        <v>0</v>
      </c>
    </row>
    <row r="382" spans="4:4" x14ac:dyDescent="0.25">
      <c r="D382">
        <v>0</v>
      </c>
    </row>
    <row r="383" spans="4:4" x14ac:dyDescent="0.25">
      <c r="D383">
        <v>1</v>
      </c>
    </row>
    <row r="384" spans="4:4" x14ac:dyDescent="0.25">
      <c r="D384">
        <v>0</v>
      </c>
    </row>
    <row r="385" spans="4:4" x14ac:dyDescent="0.25">
      <c r="D385">
        <v>1</v>
      </c>
    </row>
    <row r="386" spans="4:4" x14ac:dyDescent="0.25">
      <c r="D386">
        <v>0</v>
      </c>
    </row>
    <row r="387" spans="4:4" x14ac:dyDescent="0.25">
      <c r="D387">
        <v>0</v>
      </c>
    </row>
    <row r="388" spans="4:4" x14ac:dyDescent="0.25">
      <c r="D388">
        <v>0</v>
      </c>
    </row>
    <row r="389" spans="4:4" x14ac:dyDescent="0.25">
      <c r="D389">
        <v>1</v>
      </c>
    </row>
    <row r="390" spans="4:4" x14ac:dyDescent="0.25">
      <c r="D390">
        <v>0</v>
      </c>
    </row>
    <row r="391" spans="4:4" x14ac:dyDescent="0.25">
      <c r="D391">
        <v>0</v>
      </c>
    </row>
    <row r="392" spans="4:4" x14ac:dyDescent="0.25">
      <c r="D392">
        <v>1</v>
      </c>
    </row>
    <row r="393" spans="4:4" x14ac:dyDescent="0.25">
      <c r="D393">
        <v>0</v>
      </c>
    </row>
    <row r="394" spans="4:4" x14ac:dyDescent="0.25">
      <c r="D394">
        <v>1</v>
      </c>
    </row>
    <row r="395" spans="4:4" x14ac:dyDescent="0.25">
      <c r="D395">
        <v>1</v>
      </c>
    </row>
    <row r="396" spans="4:4" x14ac:dyDescent="0.25">
      <c r="D396">
        <v>0</v>
      </c>
    </row>
    <row r="397" spans="4:4" x14ac:dyDescent="0.25">
      <c r="D397">
        <v>1</v>
      </c>
    </row>
    <row r="398" spans="4:4" x14ac:dyDescent="0.25">
      <c r="D398">
        <v>1</v>
      </c>
    </row>
    <row r="399" spans="4:4" x14ac:dyDescent="0.25">
      <c r="D399">
        <v>0</v>
      </c>
    </row>
    <row r="400" spans="4:4" x14ac:dyDescent="0.25">
      <c r="D400">
        <v>0</v>
      </c>
    </row>
    <row r="401" spans="4:4" x14ac:dyDescent="0.25">
      <c r="D401">
        <v>0</v>
      </c>
    </row>
    <row r="402" spans="4:4" x14ac:dyDescent="0.25">
      <c r="D402">
        <v>0</v>
      </c>
    </row>
    <row r="403" spans="4:4" x14ac:dyDescent="0.25">
      <c r="D403">
        <v>0</v>
      </c>
    </row>
    <row r="408" spans="4:4" x14ac:dyDescent="0.25">
      <c r="D408" t="s">
        <v>151</v>
      </c>
    </row>
    <row r="409" spans="4:4" x14ac:dyDescent="0.25">
      <c r="D409">
        <v>1</v>
      </c>
    </row>
    <row r="410" spans="4:4" x14ac:dyDescent="0.25">
      <c r="D410">
        <v>1</v>
      </c>
    </row>
    <row r="411" spans="4:4" x14ac:dyDescent="0.25">
      <c r="D411">
        <v>0</v>
      </c>
    </row>
    <row r="412" spans="4:4" x14ac:dyDescent="0.25">
      <c r="D412">
        <v>0</v>
      </c>
    </row>
    <row r="413" spans="4:4" x14ac:dyDescent="0.25">
      <c r="D413">
        <v>1</v>
      </c>
    </row>
    <row r="414" spans="4:4" x14ac:dyDescent="0.25">
      <c r="D414">
        <v>0</v>
      </c>
    </row>
    <row r="415" spans="4:4" x14ac:dyDescent="0.25">
      <c r="D415">
        <v>1</v>
      </c>
    </row>
    <row r="416" spans="4:4" x14ac:dyDescent="0.25">
      <c r="D416">
        <v>1</v>
      </c>
    </row>
    <row r="417" spans="4:4" x14ac:dyDescent="0.25">
      <c r="D417">
        <v>0</v>
      </c>
    </row>
    <row r="418" spans="4:4" x14ac:dyDescent="0.25">
      <c r="D418">
        <v>0</v>
      </c>
    </row>
    <row r="419" spans="4:4" x14ac:dyDescent="0.25">
      <c r="D419">
        <v>1</v>
      </c>
    </row>
    <row r="420" spans="4:4" x14ac:dyDescent="0.25">
      <c r="D420">
        <v>0</v>
      </c>
    </row>
    <row r="421" spans="4:4" x14ac:dyDescent="0.25">
      <c r="D421">
        <v>1</v>
      </c>
    </row>
    <row r="422" spans="4:4" x14ac:dyDescent="0.25">
      <c r="D422">
        <v>1</v>
      </c>
    </row>
    <row r="423" spans="4:4" x14ac:dyDescent="0.25">
      <c r="D423">
        <v>1</v>
      </c>
    </row>
    <row r="424" spans="4:4" x14ac:dyDescent="0.25">
      <c r="D424">
        <v>0</v>
      </c>
    </row>
    <row r="425" spans="4:4" x14ac:dyDescent="0.25">
      <c r="D425">
        <v>1</v>
      </c>
    </row>
    <row r="426" spans="4:4" x14ac:dyDescent="0.25">
      <c r="D426">
        <v>1</v>
      </c>
    </row>
    <row r="427" spans="4:4" x14ac:dyDescent="0.25">
      <c r="D427">
        <v>0</v>
      </c>
    </row>
    <row r="428" spans="4:4" x14ac:dyDescent="0.25">
      <c r="D428">
        <v>1</v>
      </c>
    </row>
    <row r="429" spans="4:4" x14ac:dyDescent="0.25">
      <c r="D429">
        <v>1</v>
      </c>
    </row>
    <row r="430" spans="4:4" x14ac:dyDescent="0.25">
      <c r="D430">
        <v>0</v>
      </c>
    </row>
    <row r="431" spans="4:4" x14ac:dyDescent="0.25">
      <c r="D431">
        <v>1</v>
      </c>
    </row>
    <row r="432" spans="4:4" x14ac:dyDescent="0.25">
      <c r="D432">
        <v>0</v>
      </c>
    </row>
    <row r="433" spans="4:4" x14ac:dyDescent="0.25">
      <c r="D433">
        <v>0</v>
      </c>
    </row>
    <row r="434" spans="4:4" x14ac:dyDescent="0.25">
      <c r="D434">
        <v>0</v>
      </c>
    </row>
    <row r="435" spans="4:4" x14ac:dyDescent="0.25">
      <c r="D435">
        <v>1</v>
      </c>
    </row>
    <row r="436" spans="4:4" x14ac:dyDescent="0.25">
      <c r="D436">
        <v>1</v>
      </c>
    </row>
    <row r="437" spans="4:4" x14ac:dyDescent="0.25">
      <c r="D437">
        <v>0</v>
      </c>
    </row>
    <row r="438" spans="4:4" x14ac:dyDescent="0.25">
      <c r="D438">
        <v>1</v>
      </c>
    </row>
    <row r="439" spans="4:4" x14ac:dyDescent="0.25">
      <c r="D439">
        <v>0</v>
      </c>
    </row>
    <row r="440" spans="4:4" x14ac:dyDescent="0.25">
      <c r="D440">
        <v>0</v>
      </c>
    </row>
    <row r="441" spans="4:4" x14ac:dyDescent="0.25">
      <c r="D441">
        <v>0</v>
      </c>
    </row>
    <row r="442" spans="4:4" x14ac:dyDescent="0.25">
      <c r="D442">
        <v>1</v>
      </c>
    </row>
    <row r="443" spans="4:4" x14ac:dyDescent="0.25">
      <c r="D443">
        <v>1</v>
      </c>
    </row>
    <row r="444" spans="4:4" x14ac:dyDescent="0.25">
      <c r="D444">
        <v>0</v>
      </c>
    </row>
    <row r="445" spans="4:4" x14ac:dyDescent="0.25">
      <c r="D445">
        <v>0</v>
      </c>
    </row>
    <row r="446" spans="4:4" x14ac:dyDescent="0.25">
      <c r="D446">
        <v>1</v>
      </c>
    </row>
    <row r="447" spans="4:4" x14ac:dyDescent="0.25">
      <c r="D447">
        <v>1</v>
      </c>
    </row>
    <row r="448" spans="4:4" x14ac:dyDescent="0.25">
      <c r="D448">
        <v>0</v>
      </c>
    </row>
    <row r="449" spans="4:4" x14ac:dyDescent="0.25">
      <c r="D449">
        <v>1</v>
      </c>
    </row>
    <row r="450" spans="4:4" x14ac:dyDescent="0.25">
      <c r="D450">
        <v>0</v>
      </c>
    </row>
    <row r="451" spans="4:4" x14ac:dyDescent="0.25">
      <c r="D451">
        <v>0</v>
      </c>
    </row>
    <row r="452" spans="4:4" x14ac:dyDescent="0.25">
      <c r="D452">
        <v>1</v>
      </c>
    </row>
    <row r="453" spans="4:4" x14ac:dyDescent="0.25">
      <c r="D453">
        <v>0</v>
      </c>
    </row>
    <row r="454" spans="4:4" x14ac:dyDescent="0.25">
      <c r="D454">
        <v>1</v>
      </c>
    </row>
    <row r="455" spans="4:4" x14ac:dyDescent="0.25">
      <c r="D455">
        <v>1</v>
      </c>
    </row>
    <row r="456" spans="4:4" x14ac:dyDescent="0.25">
      <c r="D456">
        <v>1</v>
      </c>
    </row>
    <row r="457" spans="4:4" x14ac:dyDescent="0.25">
      <c r="D457">
        <v>1</v>
      </c>
    </row>
    <row r="458" spans="4:4" x14ac:dyDescent="0.25">
      <c r="D458">
        <v>1</v>
      </c>
    </row>
    <row r="459" spans="4:4" x14ac:dyDescent="0.25">
      <c r="D459">
        <v>1</v>
      </c>
    </row>
    <row r="460" spans="4:4" x14ac:dyDescent="0.25">
      <c r="D460">
        <v>0</v>
      </c>
    </row>
    <row r="461" spans="4:4" x14ac:dyDescent="0.25">
      <c r="D461">
        <v>1</v>
      </c>
    </row>
    <row r="462" spans="4:4" x14ac:dyDescent="0.25">
      <c r="D462">
        <v>1</v>
      </c>
    </row>
    <row r="463" spans="4:4" x14ac:dyDescent="0.25">
      <c r="D463">
        <v>1</v>
      </c>
    </row>
    <row r="464" spans="4:4" x14ac:dyDescent="0.25">
      <c r="D464">
        <v>1</v>
      </c>
    </row>
    <row r="465" spans="4:4" x14ac:dyDescent="0.25">
      <c r="D465">
        <v>0</v>
      </c>
    </row>
    <row r="466" spans="4:4" x14ac:dyDescent="0.25">
      <c r="D466">
        <v>0</v>
      </c>
    </row>
    <row r="467" spans="4:4" x14ac:dyDescent="0.25">
      <c r="D467">
        <v>1</v>
      </c>
    </row>
    <row r="468" spans="4:4" x14ac:dyDescent="0.25">
      <c r="D468">
        <v>0</v>
      </c>
    </row>
    <row r="469" spans="4:4" x14ac:dyDescent="0.25">
      <c r="D469">
        <v>1</v>
      </c>
    </row>
    <row r="470" spans="4:4" x14ac:dyDescent="0.25">
      <c r="D470">
        <v>0</v>
      </c>
    </row>
    <row r="471" spans="4:4" x14ac:dyDescent="0.25">
      <c r="D471">
        <v>0</v>
      </c>
    </row>
    <row r="472" spans="4:4" x14ac:dyDescent="0.25">
      <c r="D472">
        <v>0</v>
      </c>
    </row>
    <row r="473" spans="4:4" x14ac:dyDescent="0.25">
      <c r="D473">
        <v>1</v>
      </c>
    </row>
    <row r="474" spans="4:4" x14ac:dyDescent="0.25">
      <c r="D474">
        <v>1</v>
      </c>
    </row>
    <row r="475" spans="4:4" x14ac:dyDescent="0.25">
      <c r="D475">
        <v>0</v>
      </c>
    </row>
    <row r="476" spans="4:4" x14ac:dyDescent="0.25">
      <c r="D476">
        <v>1</v>
      </c>
    </row>
    <row r="477" spans="4:4" x14ac:dyDescent="0.25">
      <c r="D477">
        <v>0</v>
      </c>
    </row>
    <row r="478" spans="4:4" x14ac:dyDescent="0.25">
      <c r="D478">
        <v>1</v>
      </c>
    </row>
    <row r="479" spans="4:4" x14ac:dyDescent="0.25">
      <c r="D479">
        <v>0</v>
      </c>
    </row>
    <row r="480" spans="4:4" x14ac:dyDescent="0.25">
      <c r="D480">
        <v>0</v>
      </c>
    </row>
    <row r="481" spans="4:4" x14ac:dyDescent="0.25">
      <c r="D481">
        <v>0</v>
      </c>
    </row>
    <row r="482" spans="4:4" x14ac:dyDescent="0.25">
      <c r="D482">
        <v>0</v>
      </c>
    </row>
    <row r="483" spans="4:4" x14ac:dyDescent="0.25">
      <c r="D483">
        <v>1</v>
      </c>
    </row>
    <row r="484" spans="4:4" x14ac:dyDescent="0.25">
      <c r="D484">
        <v>1</v>
      </c>
    </row>
    <row r="485" spans="4:4" x14ac:dyDescent="0.25">
      <c r="D485">
        <v>0</v>
      </c>
    </row>
    <row r="486" spans="4:4" x14ac:dyDescent="0.25">
      <c r="D486">
        <v>0</v>
      </c>
    </row>
    <row r="487" spans="4:4" x14ac:dyDescent="0.25">
      <c r="D487">
        <v>1</v>
      </c>
    </row>
    <row r="488" spans="4:4" x14ac:dyDescent="0.25">
      <c r="D488">
        <v>1</v>
      </c>
    </row>
    <row r="489" spans="4:4" x14ac:dyDescent="0.25">
      <c r="D489">
        <v>0</v>
      </c>
    </row>
    <row r="490" spans="4:4" x14ac:dyDescent="0.25">
      <c r="D490">
        <v>1</v>
      </c>
    </row>
    <row r="491" spans="4:4" x14ac:dyDescent="0.25">
      <c r="D491">
        <v>1</v>
      </c>
    </row>
    <row r="492" spans="4:4" x14ac:dyDescent="0.25">
      <c r="D492">
        <v>1</v>
      </c>
    </row>
    <row r="493" spans="4:4" x14ac:dyDescent="0.25">
      <c r="D493">
        <v>1</v>
      </c>
    </row>
    <row r="494" spans="4:4" x14ac:dyDescent="0.25">
      <c r="D494">
        <v>0</v>
      </c>
    </row>
    <row r="495" spans="4:4" x14ac:dyDescent="0.25">
      <c r="D495">
        <v>1</v>
      </c>
    </row>
    <row r="496" spans="4:4" x14ac:dyDescent="0.25">
      <c r="D496">
        <v>0</v>
      </c>
    </row>
    <row r="497" spans="4:4" x14ac:dyDescent="0.25">
      <c r="D497">
        <v>1</v>
      </c>
    </row>
    <row r="498" spans="4:4" x14ac:dyDescent="0.25">
      <c r="D498">
        <v>1</v>
      </c>
    </row>
    <row r="499" spans="4:4" x14ac:dyDescent="0.25">
      <c r="D499">
        <v>1</v>
      </c>
    </row>
    <row r="500" spans="4:4" x14ac:dyDescent="0.25">
      <c r="D500">
        <v>1</v>
      </c>
    </row>
    <row r="501" spans="4:4" x14ac:dyDescent="0.25">
      <c r="D501">
        <v>1</v>
      </c>
    </row>
    <row r="502" spans="4:4" x14ac:dyDescent="0.25">
      <c r="D502">
        <v>1</v>
      </c>
    </row>
    <row r="503" spans="4:4" x14ac:dyDescent="0.25">
      <c r="D503">
        <v>0</v>
      </c>
    </row>
    <row r="504" spans="4:4" x14ac:dyDescent="0.25">
      <c r="D504">
        <v>1</v>
      </c>
    </row>
    <row r="505" spans="4:4" x14ac:dyDescent="0.25">
      <c r="D505">
        <v>0</v>
      </c>
    </row>
    <row r="506" spans="4:4" x14ac:dyDescent="0.25">
      <c r="D506">
        <v>1</v>
      </c>
    </row>
    <row r="507" spans="4:4" x14ac:dyDescent="0.25">
      <c r="D507">
        <v>1</v>
      </c>
    </row>
    <row r="508" spans="4:4" x14ac:dyDescent="0.25">
      <c r="D508">
        <v>0</v>
      </c>
    </row>
    <row r="509" spans="4:4" x14ac:dyDescent="0.25">
      <c r="D509">
        <v>0</v>
      </c>
    </row>
    <row r="510" spans="4:4" x14ac:dyDescent="0.25">
      <c r="D510">
        <v>1</v>
      </c>
    </row>
    <row r="511" spans="4:4" x14ac:dyDescent="0.25">
      <c r="D511">
        <v>0</v>
      </c>
    </row>
    <row r="512" spans="4:4" x14ac:dyDescent="0.25">
      <c r="D512">
        <v>1</v>
      </c>
    </row>
    <row r="513" spans="4:4" x14ac:dyDescent="0.25">
      <c r="D513">
        <v>1</v>
      </c>
    </row>
    <row r="514" spans="4:4" x14ac:dyDescent="0.25">
      <c r="D514">
        <v>0</v>
      </c>
    </row>
    <row r="515" spans="4:4" x14ac:dyDescent="0.25">
      <c r="D515">
        <v>0</v>
      </c>
    </row>
    <row r="516" spans="4:4" x14ac:dyDescent="0.25">
      <c r="D516">
        <v>0</v>
      </c>
    </row>
    <row r="517" spans="4:4" x14ac:dyDescent="0.25">
      <c r="D517">
        <v>0</v>
      </c>
    </row>
    <row r="518" spans="4:4" x14ac:dyDescent="0.25">
      <c r="D518">
        <v>1</v>
      </c>
    </row>
    <row r="519" spans="4:4" x14ac:dyDescent="0.25">
      <c r="D519">
        <v>1</v>
      </c>
    </row>
    <row r="520" spans="4:4" x14ac:dyDescent="0.25">
      <c r="D520">
        <v>0</v>
      </c>
    </row>
    <row r="521" spans="4:4" x14ac:dyDescent="0.25">
      <c r="D521">
        <v>0</v>
      </c>
    </row>
    <row r="522" spans="4:4" x14ac:dyDescent="0.25">
      <c r="D522">
        <v>1</v>
      </c>
    </row>
    <row r="523" spans="4:4" x14ac:dyDescent="0.25">
      <c r="D523">
        <v>1</v>
      </c>
    </row>
    <row r="524" spans="4:4" x14ac:dyDescent="0.25">
      <c r="D524">
        <v>0</v>
      </c>
    </row>
    <row r="525" spans="4:4" x14ac:dyDescent="0.25">
      <c r="D525">
        <v>0</v>
      </c>
    </row>
    <row r="526" spans="4:4" x14ac:dyDescent="0.25">
      <c r="D526">
        <v>0</v>
      </c>
    </row>
    <row r="527" spans="4:4" x14ac:dyDescent="0.25">
      <c r="D527">
        <v>0</v>
      </c>
    </row>
    <row r="528" spans="4:4" x14ac:dyDescent="0.25">
      <c r="D528">
        <v>1</v>
      </c>
    </row>
    <row r="529" spans="4:4" x14ac:dyDescent="0.25">
      <c r="D529">
        <v>0</v>
      </c>
    </row>
    <row r="530" spans="4:4" x14ac:dyDescent="0.25">
      <c r="D530">
        <v>0</v>
      </c>
    </row>
    <row r="531" spans="4:4" x14ac:dyDescent="0.25">
      <c r="D531">
        <v>0</v>
      </c>
    </row>
    <row r="532" spans="4:4" x14ac:dyDescent="0.25">
      <c r="D532">
        <v>0</v>
      </c>
    </row>
    <row r="533" spans="4:4" x14ac:dyDescent="0.25">
      <c r="D533">
        <v>1</v>
      </c>
    </row>
    <row r="534" spans="4:4" x14ac:dyDescent="0.25">
      <c r="D534">
        <v>1</v>
      </c>
    </row>
    <row r="535" spans="4:4" x14ac:dyDescent="0.25">
      <c r="D535">
        <v>0</v>
      </c>
    </row>
    <row r="536" spans="4:4" x14ac:dyDescent="0.25">
      <c r="D536">
        <v>0</v>
      </c>
    </row>
    <row r="537" spans="4:4" x14ac:dyDescent="0.25">
      <c r="D537">
        <v>0</v>
      </c>
    </row>
    <row r="538" spans="4:4" x14ac:dyDescent="0.25">
      <c r="D538">
        <v>1</v>
      </c>
    </row>
    <row r="543" spans="4:4" x14ac:dyDescent="0.25">
      <c r="D543" t="s">
        <v>20</v>
      </c>
    </row>
    <row r="544" spans="4:4" x14ac:dyDescent="0.25">
      <c r="D544">
        <v>1</v>
      </c>
    </row>
    <row r="545" spans="4:4" x14ac:dyDescent="0.25">
      <c r="D545">
        <v>0</v>
      </c>
    </row>
    <row r="546" spans="4:4" x14ac:dyDescent="0.25">
      <c r="D546">
        <v>1</v>
      </c>
    </row>
    <row r="547" spans="4:4" x14ac:dyDescent="0.25">
      <c r="D547">
        <v>1</v>
      </c>
    </row>
    <row r="548" spans="4:4" x14ac:dyDescent="0.25">
      <c r="D548">
        <v>1</v>
      </c>
    </row>
    <row r="549" spans="4:4" x14ac:dyDescent="0.25">
      <c r="D549">
        <v>1</v>
      </c>
    </row>
    <row r="550" spans="4:4" x14ac:dyDescent="0.25">
      <c r="D550">
        <v>1</v>
      </c>
    </row>
    <row r="551" spans="4:4" x14ac:dyDescent="0.25">
      <c r="D551">
        <v>0</v>
      </c>
    </row>
    <row r="552" spans="4:4" x14ac:dyDescent="0.25">
      <c r="D552">
        <v>0</v>
      </c>
    </row>
    <row r="553" spans="4:4" x14ac:dyDescent="0.25">
      <c r="D553">
        <v>1</v>
      </c>
    </row>
    <row r="554" spans="4:4" x14ac:dyDescent="0.25">
      <c r="D554">
        <v>1</v>
      </c>
    </row>
    <row r="555" spans="4:4" x14ac:dyDescent="0.25">
      <c r="D555">
        <v>0</v>
      </c>
    </row>
    <row r="556" spans="4:4" x14ac:dyDescent="0.25">
      <c r="D556">
        <v>0</v>
      </c>
    </row>
    <row r="557" spans="4:4" x14ac:dyDescent="0.25">
      <c r="D557">
        <v>1</v>
      </c>
    </row>
    <row r="558" spans="4:4" x14ac:dyDescent="0.25">
      <c r="D558">
        <v>1</v>
      </c>
    </row>
    <row r="559" spans="4:4" x14ac:dyDescent="0.25">
      <c r="D559">
        <v>0</v>
      </c>
    </row>
    <row r="560" spans="4:4" x14ac:dyDescent="0.25">
      <c r="D560">
        <v>1</v>
      </c>
    </row>
    <row r="561" spans="4:4" x14ac:dyDescent="0.25">
      <c r="D561">
        <v>0</v>
      </c>
    </row>
    <row r="562" spans="4:4" x14ac:dyDescent="0.25">
      <c r="D562">
        <v>1</v>
      </c>
    </row>
    <row r="563" spans="4:4" x14ac:dyDescent="0.25">
      <c r="D563">
        <v>1</v>
      </c>
    </row>
    <row r="564" spans="4:4" x14ac:dyDescent="0.25">
      <c r="D564">
        <v>0</v>
      </c>
    </row>
    <row r="565" spans="4:4" x14ac:dyDescent="0.25">
      <c r="D565">
        <v>0</v>
      </c>
    </row>
    <row r="566" spans="4:4" x14ac:dyDescent="0.25">
      <c r="D566">
        <v>1</v>
      </c>
    </row>
    <row r="567" spans="4:4" x14ac:dyDescent="0.25">
      <c r="D567">
        <v>1</v>
      </c>
    </row>
    <row r="568" spans="4:4" x14ac:dyDescent="0.25">
      <c r="D568">
        <v>1</v>
      </c>
    </row>
    <row r="569" spans="4:4" x14ac:dyDescent="0.25">
      <c r="D569">
        <v>0</v>
      </c>
    </row>
    <row r="570" spans="4:4" x14ac:dyDescent="0.25">
      <c r="D570">
        <v>1</v>
      </c>
    </row>
    <row r="571" spans="4:4" x14ac:dyDescent="0.25">
      <c r="D571">
        <v>0</v>
      </c>
    </row>
    <row r="572" spans="4:4" x14ac:dyDescent="0.25">
      <c r="D572">
        <v>0</v>
      </c>
    </row>
    <row r="573" spans="4:4" x14ac:dyDescent="0.25">
      <c r="D573">
        <v>1</v>
      </c>
    </row>
    <row r="574" spans="4:4" x14ac:dyDescent="0.25">
      <c r="D574">
        <v>0</v>
      </c>
    </row>
    <row r="575" spans="4:4" x14ac:dyDescent="0.25">
      <c r="D575">
        <v>1</v>
      </c>
    </row>
    <row r="576" spans="4:4" x14ac:dyDescent="0.25">
      <c r="D576">
        <v>0</v>
      </c>
    </row>
    <row r="577" spans="4:4" x14ac:dyDescent="0.25">
      <c r="D577">
        <v>1</v>
      </c>
    </row>
    <row r="578" spans="4:4" x14ac:dyDescent="0.25">
      <c r="D578">
        <v>0</v>
      </c>
    </row>
    <row r="579" spans="4:4" x14ac:dyDescent="0.25">
      <c r="D579">
        <v>1</v>
      </c>
    </row>
    <row r="580" spans="4:4" x14ac:dyDescent="0.25">
      <c r="D580">
        <v>0</v>
      </c>
    </row>
    <row r="581" spans="4:4" x14ac:dyDescent="0.25">
      <c r="D581">
        <v>0</v>
      </c>
    </row>
    <row r="582" spans="4:4" x14ac:dyDescent="0.25">
      <c r="D582">
        <v>0</v>
      </c>
    </row>
    <row r="583" spans="4:4" x14ac:dyDescent="0.25">
      <c r="D583">
        <v>1</v>
      </c>
    </row>
    <row r="584" spans="4:4" x14ac:dyDescent="0.25">
      <c r="D584">
        <v>1</v>
      </c>
    </row>
    <row r="585" spans="4:4" x14ac:dyDescent="0.25">
      <c r="D585">
        <v>1</v>
      </c>
    </row>
    <row r="586" spans="4:4" x14ac:dyDescent="0.25">
      <c r="D586">
        <v>0</v>
      </c>
    </row>
    <row r="587" spans="4:4" x14ac:dyDescent="0.25">
      <c r="D587">
        <v>1</v>
      </c>
    </row>
    <row r="588" spans="4:4" x14ac:dyDescent="0.25">
      <c r="D588">
        <v>1</v>
      </c>
    </row>
    <row r="589" spans="4:4" x14ac:dyDescent="0.25">
      <c r="D589">
        <v>0</v>
      </c>
    </row>
    <row r="590" spans="4:4" x14ac:dyDescent="0.25">
      <c r="D590">
        <v>0</v>
      </c>
    </row>
    <row r="591" spans="4:4" x14ac:dyDescent="0.25">
      <c r="D591">
        <v>1</v>
      </c>
    </row>
    <row r="592" spans="4:4" x14ac:dyDescent="0.25">
      <c r="D592">
        <v>1</v>
      </c>
    </row>
    <row r="593" spans="4:4" x14ac:dyDescent="0.25">
      <c r="D593">
        <v>1</v>
      </c>
    </row>
    <row r="594" spans="4:4" x14ac:dyDescent="0.25">
      <c r="D594">
        <v>1</v>
      </c>
    </row>
    <row r="595" spans="4:4" x14ac:dyDescent="0.25">
      <c r="D595">
        <v>1</v>
      </c>
    </row>
    <row r="596" spans="4:4" x14ac:dyDescent="0.25">
      <c r="D596">
        <v>1</v>
      </c>
    </row>
    <row r="597" spans="4:4" x14ac:dyDescent="0.25">
      <c r="D597">
        <v>1</v>
      </c>
    </row>
    <row r="598" spans="4:4" x14ac:dyDescent="0.25">
      <c r="D598">
        <v>1</v>
      </c>
    </row>
    <row r="599" spans="4:4" x14ac:dyDescent="0.25">
      <c r="D599">
        <v>0</v>
      </c>
    </row>
    <row r="600" spans="4:4" x14ac:dyDescent="0.25">
      <c r="D600">
        <v>0</v>
      </c>
    </row>
    <row r="601" spans="4:4" x14ac:dyDescent="0.25">
      <c r="D601">
        <v>1</v>
      </c>
    </row>
    <row r="602" spans="4:4" x14ac:dyDescent="0.25">
      <c r="D602">
        <v>0</v>
      </c>
    </row>
    <row r="603" spans="4:4" x14ac:dyDescent="0.25">
      <c r="D603">
        <v>0</v>
      </c>
    </row>
    <row r="604" spans="4:4" x14ac:dyDescent="0.25">
      <c r="D604">
        <v>1</v>
      </c>
    </row>
    <row r="605" spans="4:4" x14ac:dyDescent="0.25">
      <c r="D605">
        <v>0</v>
      </c>
    </row>
    <row r="606" spans="4:4" x14ac:dyDescent="0.25">
      <c r="D606">
        <v>1</v>
      </c>
    </row>
    <row r="607" spans="4:4" x14ac:dyDescent="0.25">
      <c r="D607">
        <v>0</v>
      </c>
    </row>
    <row r="608" spans="4:4" x14ac:dyDescent="0.25">
      <c r="D608">
        <v>0</v>
      </c>
    </row>
    <row r="609" spans="4:4" x14ac:dyDescent="0.25">
      <c r="D609">
        <v>0</v>
      </c>
    </row>
    <row r="610" spans="4:4" x14ac:dyDescent="0.25">
      <c r="D610">
        <v>1</v>
      </c>
    </row>
    <row r="611" spans="4:4" x14ac:dyDescent="0.25">
      <c r="D611">
        <v>1</v>
      </c>
    </row>
    <row r="612" spans="4:4" x14ac:dyDescent="0.25">
      <c r="D612">
        <v>0</v>
      </c>
    </row>
    <row r="613" spans="4:4" x14ac:dyDescent="0.25">
      <c r="D613">
        <v>0</v>
      </c>
    </row>
    <row r="614" spans="4:4" x14ac:dyDescent="0.25">
      <c r="D614">
        <v>1</v>
      </c>
    </row>
    <row r="615" spans="4:4" x14ac:dyDescent="0.25">
      <c r="D615">
        <v>0</v>
      </c>
    </row>
    <row r="616" spans="4:4" x14ac:dyDescent="0.25">
      <c r="D616">
        <v>1</v>
      </c>
    </row>
    <row r="617" spans="4:4" x14ac:dyDescent="0.25">
      <c r="D617">
        <v>1</v>
      </c>
    </row>
    <row r="618" spans="4:4" x14ac:dyDescent="0.25">
      <c r="D618">
        <v>0</v>
      </c>
    </row>
    <row r="619" spans="4:4" x14ac:dyDescent="0.25">
      <c r="D619">
        <v>1</v>
      </c>
    </row>
    <row r="620" spans="4:4" x14ac:dyDescent="0.25">
      <c r="D620">
        <v>1</v>
      </c>
    </row>
    <row r="621" spans="4:4" x14ac:dyDescent="0.25">
      <c r="D621">
        <v>0</v>
      </c>
    </row>
    <row r="622" spans="4:4" x14ac:dyDescent="0.25">
      <c r="D622">
        <v>0</v>
      </c>
    </row>
    <row r="623" spans="4:4" x14ac:dyDescent="0.25">
      <c r="D623">
        <v>1</v>
      </c>
    </row>
    <row r="624" spans="4:4" x14ac:dyDescent="0.25">
      <c r="D624">
        <v>0</v>
      </c>
    </row>
    <row r="625" spans="4:4" x14ac:dyDescent="0.25">
      <c r="D625">
        <v>0</v>
      </c>
    </row>
    <row r="626" spans="4:4" x14ac:dyDescent="0.25">
      <c r="D626">
        <v>0</v>
      </c>
    </row>
    <row r="627" spans="4:4" x14ac:dyDescent="0.25">
      <c r="D627">
        <v>1</v>
      </c>
    </row>
    <row r="628" spans="4:4" x14ac:dyDescent="0.25">
      <c r="D628">
        <v>1</v>
      </c>
    </row>
    <row r="629" spans="4:4" x14ac:dyDescent="0.25">
      <c r="D629">
        <v>1</v>
      </c>
    </row>
    <row r="630" spans="4:4" x14ac:dyDescent="0.25">
      <c r="D630">
        <v>1</v>
      </c>
    </row>
    <row r="631" spans="4:4" x14ac:dyDescent="0.25">
      <c r="D631">
        <v>1</v>
      </c>
    </row>
    <row r="632" spans="4:4" x14ac:dyDescent="0.25">
      <c r="D632">
        <v>0</v>
      </c>
    </row>
    <row r="633" spans="4:4" x14ac:dyDescent="0.25">
      <c r="D633">
        <v>0</v>
      </c>
    </row>
    <row r="634" spans="4:4" x14ac:dyDescent="0.25">
      <c r="D634">
        <v>1</v>
      </c>
    </row>
    <row r="635" spans="4:4" x14ac:dyDescent="0.25">
      <c r="D635">
        <v>0</v>
      </c>
    </row>
    <row r="636" spans="4:4" x14ac:dyDescent="0.25">
      <c r="D636">
        <v>1</v>
      </c>
    </row>
    <row r="637" spans="4:4" x14ac:dyDescent="0.25">
      <c r="D637">
        <v>0</v>
      </c>
    </row>
    <row r="638" spans="4:4" x14ac:dyDescent="0.25">
      <c r="D638">
        <v>1</v>
      </c>
    </row>
    <row r="639" spans="4:4" x14ac:dyDescent="0.25">
      <c r="D639">
        <v>1</v>
      </c>
    </row>
    <row r="640" spans="4:4" x14ac:dyDescent="0.25">
      <c r="D640">
        <v>0</v>
      </c>
    </row>
    <row r="641" spans="4:4" x14ac:dyDescent="0.25">
      <c r="D641">
        <v>1</v>
      </c>
    </row>
    <row r="642" spans="4:4" x14ac:dyDescent="0.25">
      <c r="D642">
        <v>0</v>
      </c>
    </row>
    <row r="643" spans="4:4" x14ac:dyDescent="0.25">
      <c r="D643">
        <v>0</v>
      </c>
    </row>
    <row r="644" spans="4:4" x14ac:dyDescent="0.25">
      <c r="D644">
        <v>1</v>
      </c>
    </row>
    <row r="645" spans="4:4" x14ac:dyDescent="0.25">
      <c r="D645">
        <v>0</v>
      </c>
    </row>
    <row r="646" spans="4:4" x14ac:dyDescent="0.25">
      <c r="D646">
        <v>1</v>
      </c>
    </row>
    <row r="647" spans="4:4" x14ac:dyDescent="0.25">
      <c r="D647">
        <v>1</v>
      </c>
    </row>
    <row r="648" spans="4:4" x14ac:dyDescent="0.25">
      <c r="D648">
        <v>1</v>
      </c>
    </row>
    <row r="649" spans="4:4" x14ac:dyDescent="0.25">
      <c r="D649">
        <v>1</v>
      </c>
    </row>
    <row r="650" spans="4:4" x14ac:dyDescent="0.25">
      <c r="D650">
        <v>0</v>
      </c>
    </row>
    <row r="651" spans="4:4" x14ac:dyDescent="0.25">
      <c r="D651">
        <v>1</v>
      </c>
    </row>
    <row r="652" spans="4:4" x14ac:dyDescent="0.25">
      <c r="D652">
        <v>0</v>
      </c>
    </row>
    <row r="653" spans="4:4" x14ac:dyDescent="0.25">
      <c r="D653">
        <v>0</v>
      </c>
    </row>
    <row r="654" spans="4:4" x14ac:dyDescent="0.25">
      <c r="D654">
        <v>1</v>
      </c>
    </row>
    <row r="655" spans="4:4" x14ac:dyDescent="0.25">
      <c r="D655">
        <v>0</v>
      </c>
    </row>
    <row r="656" spans="4:4" x14ac:dyDescent="0.25">
      <c r="D656">
        <v>0</v>
      </c>
    </row>
    <row r="657" spans="4:4" x14ac:dyDescent="0.25">
      <c r="D657">
        <v>0</v>
      </c>
    </row>
    <row r="658" spans="4:4" x14ac:dyDescent="0.25">
      <c r="D658">
        <v>1</v>
      </c>
    </row>
    <row r="659" spans="4:4" x14ac:dyDescent="0.25">
      <c r="D659">
        <v>0</v>
      </c>
    </row>
    <row r="660" spans="4:4" x14ac:dyDescent="0.25">
      <c r="D660">
        <v>0</v>
      </c>
    </row>
    <row r="661" spans="4:4" x14ac:dyDescent="0.25">
      <c r="D661">
        <v>1</v>
      </c>
    </row>
    <row r="662" spans="4:4" x14ac:dyDescent="0.25">
      <c r="D662">
        <v>1</v>
      </c>
    </row>
    <row r="663" spans="4:4" x14ac:dyDescent="0.25">
      <c r="D663">
        <v>1</v>
      </c>
    </row>
    <row r="664" spans="4:4" x14ac:dyDescent="0.25">
      <c r="D664">
        <v>1</v>
      </c>
    </row>
    <row r="665" spans="4:4" x14ac:dyDescent="0.25">
      <c r="D665">
        <v>1</v>
      </c>
    </row>
    <row r="666" spans="4:4" x14ac:dyDescent="0.25">
      <c r="D666">
        <v>1</v>
      </c>
    </row>
    <row r="667" spans="4:4" x14ac:dyDescent="0.25">
      <c r="D667">
        <v>0</v>
      </c>
    </row>
    <row r="668" spans="4:4" x14ac:dyDescent="0.25">
      <c r="D668">
        <v>0</v>
      </c>
    </row>
    <row r="669" spans="4:4" x14ac:dyDescent="0.25">
      <c r="D669">
        <v>0</v>
      </c>
    </row>
    <row r="670" spans="4:4" x14ac:dyDescent="0.25">
      <c r="D670">
        <v>1</v>
      </c>
    </row>
    <row r="671" spans="4:4" x14ac:dyDescent="0.25">
      <c r="D671">
        <v>1</v>
      </c>
    </row>
    <row r="672" spans="4:4" x14ac:dyDescent="0.25">
      <c r="D672">
        <v>0</v>
      </c>
    </row>
    <row r="673" spans="4:4" x14ac:dyDescent="0.25">
      <c r="D673">
        <v>0</v>
      </c>
    </row>
    <row r="677" spans="4:4" x14ac:dyDescent="0.25">
      <c r="D677" t="s">
        <v>21</v>
      </c>
    </row>
    <row r="678" spans="4:4" x14ac:dyDescent="0.25">
      <c r="D678">
        <v>0</v>
      </c>
    </row>
    <row r="679" spans="4:4" x14ac:dyDescent="0.25">
      <c r="D679">
        <v>1</v>
      </c>
    </row>
    <row r="680" spans="4:4" x14ac:dyDescent="0.25">
      <c r="D680">
        <v>0</v>
      </c>
    </row>
    <row r="681" spans="4:4" x14ac:dyDescent="0.25">
      <c r="D681">
        <v>1</v>
      </c>
    </row>
    <row r="682" spans="4:4" x14ac:dyDescent="0.25">
      <c r="D682">
        <v>1</v>
      </c>
    </row>
    <row r="683" spans="4:4" x14ac:dyDescent="0.25">
      <c r="D683">
        <v>0</v>
      </c>
    </row>
    <row r="684" spans="4:4" x14ac:dyDescent="0.25">
      <c r="D684">
        <v>0</v>
      </c>
    </row>
    <row r="685" spans="4:4" x14ac:dyDescent="0.25">
      <c r="D685">
        <v>1</v>
      </c>
    </row>
    <row r="686" spans="4:4" x14ac:dyDescent="0.25">
      <c r="D686">
        <v>1</v>
      </c>
    </row>
    <row r="687" spans="4:4" x14ac:dyDescent="0.25">
      <c r="D687">
        <v>0</v>
      </c>
    </row>
    <row r="688" spans="4:4" x14ac:dyDescent="0.25">
      <c r="D688">
        <v>1</v>
      </c>
    </row>
    <row r="689" spans="4:4" x14ac:dyDescent="0.25">
      <c r="D689">
        <v>0</v>
      </c>
    </row>
    <row r="690" spans="4:4" x14ac:dyDescent="0.25">
      <c r="D690">
        <v>1</v>
      </c>
    </row>
    <row r="691" spans="4:4" x14ac:dyDescent="0.25">
      <c r="D691">
        <v>0</v>
      </c>
    </row>
    <row r="692" spans="4:4" x14ac:dyDescent="0.25">
      <c r="D692">
        <v>0</v>
      </c>
    </row>
    <row r="693" spans="4:4" x14ac:dyDescent="0.25">
      <c r="D693">
        <v>1</v>
      </c>
    </row>
    <row r="694" spans="4:4" x14ac:dyDescent="0.25">
      <c r="D694">
        <v>0</v>
      </c>
    </row>
    <row r="695" spans="4:4" x14ac:dyDescent="0.25">
      <c r="D695">
        <v>0</v>
      </c>
    </row>
    <row r="696" spans="4:4" x14ac:dyDescent="0.25">
      <c r="D696">
        <v>0</v>
      </c>
    </row>
    <row r="697" spans="4:4" x14ac:dyDescent="0.25">
      <c r="D697">
        <v>0</v>
      </c>
    </row>
    <row r="698" spans="4:4" x14ac:dyDescent="0.25">
      <c r="D698">
        <v>1</v>
      </c>
    </row>
    <row r="699" spans="4:4" x14ac:dyDescent="0.25">
      <c r="D699">
        <v>1</v>
      </c>
    </row>
    <row r="700" spans="4:4" x14ac:dyDescent="0.25">
      <c r="D700">
        <v>1</v>
      </c>
    </row>
    <row r="701" spans="4:4" x14ac:dyDescent="0.25">
      <c r="D701">
        <v>0</v>
      </c>
    </row>
    <row r="702" spans="4:4" x14ac:dyDescent="0.25">
      <c r="D702">
        <v>1</v>
      </c>
    </row>
    <row r="703" spans="4:4" x14ac:dyDescent="0.25">
      <c r="D703">
        <v>1</v>
      </c>
    </row>
    <row r="704" spans="4:4" x14ac:dyDescent="0.25">
      <c r="D704">
        <v>0</v>
      </c>
    </row>
    <row r="705" spans="4:4" x14ac:dyDescent="0.25">
      <c r="D705">
        <v>0</v>
      </c>
    </row>
    <row r="706" spans="4:4" x14ac:dyDescent="0.25">
      <c r="D706">
        <v>0</v>
      </c>
    </row>
    <row r="707" spans="4:4" x14ac:dyDescent="0.25">
      <c r="D707">
        <v>0</v>
      </c>
    </row>
    <row r="708" spans="4:4" x14ac:dyDescent="0.25">
      <c r="D708">
        <v>1</v>
      </c>
    </row>
    <row r="709" spans="4:4" x14ac:dyDescent="0.25">
      <c r="D709">
        <v>1</v>
      </c>
    </row>
    <row r="710" spans="4:4" x14ac:dyDescent="0.25">
      <c r="D710">
        <v>0</v>
      </c>
    </row>
    <row r="711" spans="4:4" x14ac:dyDescent="0.25">
      <c r="D711">
        <v>1</v>
      </c>
    </row>
    <row r="712" spans="4:4" x14ac:dyDescent="0.25">
      <c r="D712">
        <v>0</v>
      </c>
    </row>
    <row r="713" spans="4:4" x14ac:dyDescent="0.25">
      <c r="D713">
        <v>1</v>
      </c>
    </row>
    <row r="714" spans="4:4" x14ac:dyDescent="0.25">
      <c r="D714">
        <v>1</v>
      </c>
    </row>
    <row r="715" spans="4:4" x14ac:dyDescent="0.25">
      <c r="D715">
        <v>1</v>
      </c>
    </row>
    <row r="716" spans="4:4" x14ac:dyDescent="0.25">
      <c r="D716">
        <v>0</v>
      </c>
    </row>
    <row r="717" spans="4:4" x14ac:dyDescent="0.25">
      <c r="D717">
        <v>1</v>
      </c>
    </row>
    <row r="718" spans="4:4" x14ac:dyDescent="0.25">
      <c r="D718">
        <v>1</v>
      </c>
    </row>
    <row r="719" spans="4:4" x14ac:dyDescent="0.25">
      <c r="D719">
        <v>0</v>
      </c>
    </row>
    <row r="720" spans="4:4" x14ac:dyDescent="0.25">
      <c r="D720">
        <v>1</v>
      </c>
    </row>
    <row r="721" spans="4:4" x14ac:dyDescent="0.25">
      <c r="D721">
        <v>1</v>
      </c>
    </row>
    <row r="722" spans="4:4" x14ac:dyDescent="0.25">
      <c r="D722">
        <v>1</v>
      </c>
    </row>
    <row r="723" spans="4:4" x14ac:dyDescent="0.25">
      <c r="D723">
        <v>1</v>
      </c>
    </row>
    <row r="724" spans="4:4" x14ac:dyDescent="0.25">
      <c r="D724">
        <v>0</v>
      </c>
    </row>
    <row r="725" spans="4:4" x14ac:dyDescent="0.25">
      <c r="D725">
        <v>1</v>
      </c>
    </row>
    <row r="726" spans="4:4" x14ac:dyDescent="0.25">
      <c r="D726">
        <v>1</v>
      </c>
    </row>
    <row r="727" spans="4:4" x14ac:dyDescent="0.25">
      <c r="D727">
        <v>0</v>
      </c>
    </row>
    <row r="728" spans="4:4" x14ac:dyDescent="0.25">
      <c r="D728">
        <v>1</v>
      </c>
    </row>
    <row r="729" spans="4:4" x14ac:dyDescent="0.25">
      <c r="D729">
        <v>1</v>
      </c>
    </row>
    <row r="730" spans="4:4" x14ac:dyDescent="0.25">
      <c r="D730">
        <v>1</v>
      </c>
    </row>
    <row r="731" spans="4:4" x14ac:dyDescent="0.25">
      <c r="D731">
        <v>0</v>
      </c>
    </row>
    <row r="732" spans="4:4" x14ac:dyDescent="0.25">
      <c r="D732">
        <v>1</v>
      </c>
    </row>
    <row r="733" spans="4:4" x14ac:dyDescent="0.25">
      <c r="D733">
        <v>1</v>
      </c>
    </row>
    <row r="734" spans="4:4" x14ac:dyDescent="0.25">
      <c r="D734">
        <v>1</v>
      </c>
    </row>
    <row r="735" spans="4:4" x14ac:dyDescent="0.25">
      <c r="D735">
        <v>1</v>
      </c>
    </row>
    <row r="736" spans="4:4" x14ac:dyDescent="0.25">
      <c r="D736">
        <v>0</v>
      </c>
    </row>
    <row r="737" spans="4:4" x14ac:dyDescent="0.25">
      <c r="D737">
        <v>0</v>
      </c>
    </row>
    <row r="738" spans="4:4" x14ac:dyDescent="0.25">
      <c r="D738">
        <v>1</v>
      </c>
    </row>
    <row r="739" spans="4:4" x14ac:dyDescent="0.25">
      <c r="D739">
        <v>0</v>
      </c>
    </row>
    <row r="740" spans="4:4" x14ac:dyDescent="0.25">
      <c r="D740">
        <v>0</v>
      </c>
    </row>
    <row r="741" spans="4:4" x14ac:dyDescent="0.25">
      <c r="D741">
        <v>1</v>
      </c>
    </row>
    <row r="742" spans="4:4" x14ac:dyDescent="0.25">
      <c r="D742">
        <v>0</v>
      </c>
    </row>
    <row r="743" spans="4:4" x14ac:dyDescent="0.25">
      <c r="D743">
        <v>1</v>
      </c>
    </row>
    <row r="744" spans="4:4" x14ac:dyDescent="0.25">
      <c r="D744">
        <v>0</v>
      </c>
    </row>
    <row r="745" spans="4:4" x14ac:dyDescent="0.25">
      <c r="D745">
        <v>0</v>
      </c>
    </row>
    <row r="746" spans="4:4" x14ac:dyDescent="0.25">
      <c r="D746">
        <v>0</v>
      </c>
    </row>
    <row r="747" spans="4:4" x14ac:dyDescent="0.25">
      <c r="D747">
        <v>1</v>
      </c>
    </row>
    <row r="748" spans="4:4" x14ac:dyDescent="0.25">
      <c r="D748">
        <v>0</v>
      </c>
    </row>
    <row r="749" spans="4:4" x14ac:dyDescent="0.25">
      <c r="D749">
        <v>1</v>
      </c>
    </row>
    <row r="750" spans="4:4" x14ac:dyDescent="0.25">
      <c r="D750">
        <v>0</v>
      </c>
    </row>
    <row r="751" spans="4:4" x14ac:dyDescent="0.25">
      <c r="D751">
        <v>1</v>
      </c>
    </row>
    <row r="752" spans="4:4" x14ac:dyDescent="0.25">
      <c r="D752">
        <v>1</v>
      </c>
    </row>
    <row r="753" spans="4:4" x14ac:dyDescent="0.25">
      <c r="D753">
        <v>1</v>
      </c>
    </row>
    <row r="754" spans="4:4" x14ac:dyDescent="0.25">
      <c r="D754">
        <v>0</v>
      </c>
    </row>
    <row r="755" spans="4:4" x14ac:dyDescent="0.25">
      <c r="D755">
        <v>0</v>
      </c>
    </row>
    <row r="756" spans="4:4" x14ac:dyDescent="0.25">
      <c r="D756">
        <v>0</v>
      </c>
    </row>
    <row r="757" spans="4:4" x14ac:dyDescent="0.25">
      <c r="D757">
        <v>1</v>
      </c>
    </row>
    <row r="758" spans="4:4" x14ac:dyDescent="0.25">
      <c r="D758">
        <v>1</v>
      </c>
    </row>
    <row r="759" spans="4:4" x14ac:dyDescent="0.25">
      <c r="D759">
        <v>0</v>
      </c>
    </row>
    <row r="760" spans="4:4" x14ac:dyDescent="0.25">
      <c r="D760">
        <v>0</v>
      </c>
    </row>
    <row r="761" spans="4:4" x14ac:dyDescent="0.25">
      <c r="D761">
        <v>0</v>
      </c>
    </row>
    <row r="762" spans="4:4" x14ac:dyDescent="0.25">
      <c r="D762">
        <v>1</v>
      </c>
    </row>
    <row r="763" spans="4:4" x14ac:dyDescent="0.25">
      <c r="D763">
        <v>1</v>
      </c>
    </row>
    <row r="764" spans="4:4" x14ac:dyDescent="0.25">
      <c r="D764">
        <v>0</v>
      </c>
    </row>
    <row r="765" spans="4:4" x14ac:dyDescent="0.25">
      <c r="D765">
        <v>1</v>
      </c>
    </row>
    <row r="766" spans="4:4" x14ac:dyDescent="0.25">
      <c r="D766">
        <v>1</v>
      </c>
    </row>
    <row r="767" spans="4:4" x14ac:dyDescent="0.25">
      <c r="D767">
        <v>0</v>
      </c>
    </row>
    <row r="768" spans="4:4" x14ac:dyDescent="0.25">
      <c r="D768">
        <v>0</v>
      </c>
    </row>
    <row r="769" spans="4:4" x14ac:dyDescent="0.25">
      <c r="D769">
        <v>0</v>
      </c>
    </row>
    <row r="770" spans="4:4" x14ac:dyDescent="0.25">
      <c r="D770">
        <v>1</v>
      </c>
    </row>
    <row r="771" spans="4:4" x14ac:dyDescent="0.25">
      <c r="D771">
        <v>1</v>
      </c>
    </row>
    <row r="772" spans="4:4" x14ac:dyDescent="0.25">
      <c r="D772">
        <v>0</v>
      </c>
    </row>
    <row r="773" spans="4:4" x14ac:dyDescent="0.25">
      <c r="D773">
        <v>0</v>
      </c>
    </row>
    <row r="774" spans="4:4" x14ac:dyDescent="0.25">
      <c r="D774">
        <v>1</v>
      </c>
    </row>
    <row r="775" spans="4:4" x14ac:dyDescent="0.25">
      <c r="D775">
        <v>1</v>
      </c>
    </row>
    <row r="776" spans="4:4" x14ac:dyDescent="0.25">
      <c r="D776">
        <v>1</v>
      </c>
    </row>
    <row r="777" spans="4:4" x14ac:dyDescent="0.25">
      <c r="D777">
        <v>1</v>
      </c>
    </row>
    <row r="778" spans="4:4" x14ac:dyDescent="0.25">
      <c r="D778">
        <v>0</v>
      </c>
    </row>
    <row r="779" spans="4:4" x14ac:dyDescent="0.25">
      <c r="D779">
        <v>0</v>
      </c>
    </row>
    <row r="780" spans="4:4" x14ac:dyDescent="0.25">
      <c r="D780">
        <v>1</v>
      </c>
    </row>
    <row r="781" spans="4:4" x14ac:dyDescent="0.25">
      <c r="D781">
        <v>1</v>
      </c>
    </row>
    <row r="782" spans="4:4" x14ac:dyDescent="0.25">
      <c r="D782">
        <v>1</v>
      </c>
    </row>
    <row r="783" spans="4:4" x14ac:dyDescent="0.25">
      <c r="D783">
        <v>0</v>
      </c>
    </row>
    <row r="784" spans="4:4" x14ac:dyDescent="0.25">
      <c r="D784">
        <v>1</v>
      </c>
    </row>
    <row r="785" spans="4:4" x14ac:dyDescent="0.25">
      <c r="D785">
        <v>0</v>
      </c>
    </row>
    <row r="786" spans="4:4" x14ac:dyDescent="0.25">
      <c r="D786">
        <v>1</v>
      </c>
    </row>
    <row r="787" spans="4:4" x14ac:dyDescent="0.25">
      <c r="D787">
        <v>0</v>
      </c>
    </row>
    <row r="788" spans="4:4" x14ac:dyDescent="0.25">
      <c r="D788">
        <v>1</v>
      </c>
    </row>
    <row r="789" spans="4:4" x14ac:dyDescent="0.25">
      <c r="D789">
        <v>0</v>
      </c>
    </row>
    <row r="790" spans="4:4" x14ac:dyDescent="0.25">
      <c r="D790">
        <v>1</v>
      </c>
    </row>
    <row r="791" spans="4:4" x14ac:dyDescent="0.25">
      <c r="D791">
        <v>0</v>
      </c>
    </row>
    <row r="792" spans="4:4" x14ac:dyDescent="0.25">
      <c r="D792">
        <v>0</v>
      </c>
    </row>
    <row r="793" spans="4:4" x14ac:dyDescent="0.25">
      <c r="D793">
        <v>1</v>
      </c>
    </row>
    <row r="794" spans="4:4" x14ac:dyDescent="0.25">
      <c r="D794">
        <v>0</v>
      </c>
    </row>
    <row r="795" spans="4:4" x14ac:dyDescent="0.25">
      <c r="D795">
        <v>0</v>
      </c>
    </row>
    <row r="796" spans="4:4" x14ac:dyDescent="0.25">
      <c r="D796">
        <v>1</v>
      </c>
    </row>
    <row r="797" spans="4:4" x14ac:dyDescent="0.25">
      <c r="D797">
        <v>0</v>
      </c>
    </row>
    <row r="798" spans="4:4" x14ac:dyDescent="0.25">
      <c r="D798">
        <v>1</v>
      </c>
    </row>
    <row r="799" spans="4:4" x14ac:dyDescent="0.25">
      <c r="D799">
        <v>1</v>
      </c>
    </row>
    <row r="800" spans="4:4" x14ac:dyDescent="0.25">
      <c r="D800">
        <v>1</v>
      </c>
    </row>
    <row r="801" spans="4:4" x14ac:dyDescent="0.25">
      <c r="D801">
        <v>1</v>
      </c>
    </row>
    <row r="802" spans="4:4" x14ac:dyDescent="0.25">
      <c r="D802">
        <v>0</v>
      </c>
    </row>
    <row r="803" spans="4:4" x14ac:dyDescent="0.25">
      <c r="D803">
        <v>1</v>
      </c>
    </row>
    <row r="804" spans="4:4" x14ac:dyDescent="0.25">
      <c r="D804">
        <v>0</v>
      </c>
    </row>
    <row r="805" spans="4:4" x14ac:dyDescent="0.25">
      <c r="D805">
        <v>1</v>
      </c>
    </row>
    <row r="806" spans="4:4" x14ac:dyDescent="0.25">
      <c r="D806">
        <v>0</v>
      </c>
    </row>
    <row r="807" spans="4:4" x14ac:dyDescent="0.25">
      <c r="D807">
        <v>0</v>
      </c>
    </row>
    <row r="812" spans="4:4" x14ac:dyDescent="0.25">
      <c r="D812" t="s">
        <v>84</v>
      </c>
    </row>
    <row r="813" spans="4:4" x14ac:dyDescent="0.25">
      <c r="D813">
        <v>1</v>
      </c>
    </row>
    <row r="814" spans="4:4" x14ac:dyDescent="0.25">
      <c r="D814">
        <v>1</v>
      </c>
    </row>
    <row r="815" spans="4:4" x14ac:dyDescent="0.25">
      <c r="D815">
        <v>0</v>
      </c>
    </row>
    <row r="816" spans="4:4" x14ac:dyDescent="0.25">
      <c r="D816">
        <v>0</v>
      </c>
    </row>
    <row r="817" spans="4:4" x14ac:dyDescent="0.25">
      <c r="D817">
        <v>0</v>
      </c>
    </row>
    <row r="818" spans="4:4" x14ac:dyDescent="0.25">
      <c r="D818">
        <v>1</v>
      </c>
    </row>
    <row r="819" spans="4:4" x14ac:dyDescent="0.25">
      <c r="D819">
        <v>0</v>
      </c>
    </row>
    <row r="820" spans="4:4" x14ac:dyDescent="0.25">
      <c r="D820">
        <v>1</v>
      </c>
    </row>
    <row r="821" spans="4:4" x14ac:dyDescent="0.25">
      <c r="D821">
        <v>0</v>
      </c>
    </row>
    <row r="822" spans="4:4" x14ac:dyDescent="0.25">
      <c r="D822">
        <v>1</v>
      </c>
    </row>
    <row r="823" spans="4:4" x14ac:dyDescent="0.25">
      <c r="D823">
        <v>0</v>
      </c>
    </row>
    <row r="824" spans="4:4" x14ac:dyDescent="0.25">
      <c r="D824">
        <v>1</v>
      </c>
    </row>
    <row r="825" spans="4:4" x14ac:dyDescent="0.25">
      <c r="D825">
        <v>0</v>
      </c>
    </row>
    <row r="826" spans="4:4" x14ac:dyDescent="0.25">
      <c r="D826">
        <v>0</v>
      </c>
    </row>
    <row r="827" spans="4:4" x14ac:dyDescent="0.25">
      <c r="D827">
        <v>1</v>
      </c>
    </row>
    <row r="828" spans="4:4" x14ac:dyDescent="0.25">
      <c r="D828">
        <v>1</v>
      </c>
    </row>
    <row r="829" spans="4:4" x14ac:dyDescent="0.25">
      <c r="D829">
        <v>0</v>
      </c>
    </row>
    <row r="830" spans="4:4" x14ac:dyDescent="0.25">
      <c r="D830">
        <v>0</v>
      </c>
    </row>
    <row r="831" spans="4:4" x14ac:dyDescent="0.25">
      <c r="D831">
        <v>1</v>
      </c>
    </row>
    <row r="832" spans="4:4" x14ac:dyDescent="0.25">
      <c r="D832">
        <v>0</v>
      </c>
    </row>
    <row r="833" spans="4:4" x14ac:dyDescent="0.25">
      <c r="D833">
        <v>0</v>
      </c>
    </row>
    <row r="834" spans="4:4" x14ac:dyDescent="0.25">
      <c r="D834">
        <v>0</v>
      </c>
    </row>
    <row r="835" spans="4:4" x14ac:dyDescent="0.25">
      <c r="D835">
        <v>1</v>
      </c>
    </row>
    <row r="836" spans="4:4" x14ac:dyDescent="0.25">
      <c r="D836">
        <v>0</v>
      </c>
    </row>
    <row r="837" spans="4:4" x14ac:dyDescent="0.25">
      <c r="D837">
        <v>1</v>
      </c>
    </row>
    <row r="838" spans="4:4" x14ac:dyDescent="0.25">
      <c r="D838">
        <v>1</v>
      </c>
    </row>
    <row r="839" spans="4:4" x14ac:dyDescent="0.25">
      <c r="D839">
        <v>0</v>
      </c>
    </row>
    <row r="840" spans="4:4" x14ac:dyDescent="0.25">
      <c r="D840">
        <v>1</v>
      </c>
    </row>
    <row r="841" spans="4:4" x14ac:dyDescent="0.25">
      <c r="D841">
        <v>1</v>
      </c>
    </row>
    <row r="842" spans="4:4" x14ac:dyDescent="0.25">
      <c r="D842">
        <v>0</v>
      </c>
    </row>
    <row r="843" spans="4:4" x14ac:dyDescent="0.25">
      <c r="D843">
        <v>0</v>
      </c>
    </row>
    <row r="844" spans="4:4" x14ac:dyDescent="0.25">
      <c r="D844">
        <v>0</v>
      </c>
    </row>
    <row r="845" spans="4:4" x14ac:dyDescent="0.25">
      <c r="D845">
        <v>0</v>
      </c>
    </row>
    <row r="846" spans="4:4" x14ac:dyDescent="0.25">
      <c r="D846">
        <v>0</v>
      </c>
    </row>
    <row r="847" spans="4:4" x14ac:dyDescent="0.25">
      <c r="D847">
        <v>1</v>
      </c>
    </row>
    <row r="848" spans="4:4" x14ac:dyDescent="0.25">
      <c r="D848">
        <v>0</v>
      </c>
    </row>
    <row r="849" spans="4:4" x14ac:dyDescent="0.25">
      <c r="D849">
        <v>0</v>
      </c>
    </row>
    <row r="850" spans="4:4" x14ac:dyDescent="0.25">
      <c r="D850">
        <v>1</v>
      </c>
    </row>
    <row r="851" spans="4:4" x14ac:dyDescent="0.25">
      <c r="D851">
        <v>0</v>
      </c>
    </row>
    <row r="852" spans="4:4" x14ac:dyDescent="0.25">
      <c r="D852">
        <v>0</v>
      </c>
    </row>
    <row r="853" spans="4:4" x14ac:dyDescent="0.25">
      <c r="D853">
        <v>0</v>
      </c>
    </row>
    <row r="854" spans="4:4" x14ac:dyDescent="0.25">
      <c r="D854">
        <v>1</v>
      </c>
    </row>
    <row r="855" spans="4:4" x14ac:dyDescent="0.25">
      <c r="D855">
        <v>1</v>
      </c>
    </row>
    <row r="856" spans="4:4" x14ac:dyDescent="0.25">
      <c r="D856">
        <v>0</v>
      </c>
    </row>
    <row r="857" spans="4:4" x14ac:dyDescent="0.25">
      <c r="D857">
        <v>0</v>
      </c>
    </row>
    <row r="858" spans="4:4" x14ac:dyDescent="0.25">
      <c r="D858">
        <v>1</v>
      </c>
    </row>
    <row r="859" spans="4:4" x14ac:dyDescent="0.25">
      <c r="D859">
        <v>1</v>
      </c>
    </row>
    <row r="860" spans="4:4" x14ac:dyDescent="0.25">
      <c r="D860">
        <v>0</v>
      </c>
    </row>
    <row r="861" spans="4:4" x14ac:dyDescent="0.25">
      <c r="D861">
        <v>0</v>
      </c>
    </row>
    <row r="862" spans="4:4" x14ac:dyDescent="0.25">
      <c r="D862">
        <v>0</v>
      </c>
    </row>
    <row r="863" spans="4:4" x14ac:dyDescent="0.25">
      <c r="D863">
        <v>0</v>
      </c>
    </row>
    <row r="864" spans="4:4" x14ac:dyDescent="0.25">
      <c r="D864">
        <v>1</v>
      </c>
    </row>
    <row r="865" spans="4:4" x14ac:dyDescent="0.25">
      <c r="D865">
        <v>0</v>
      </c>
    </row>
    <row r="866" spans="4:4" x14ac:dyDescent="0.25">
      <c r="D866">
        <v>1</v>
      </c>
    </row>
    <row r="867" spans="4:4" x14ac:dyDescent="0.25">
      <c r="D867">
        <v>1</v>
      </c>
    </row>
    <row r="868" spans="4:4" x14ac:dyDescent="0.25">
      <c r="D868">
        <v>0</v>
      </c>
    </row>
    <row r="869" spans="4:4" x14ac:dyDescent="0.25">
      <c r="D869">
        <v>1</v>
      </c>
    </row>
    <row r="870" spans="4:4" x14ac:dyDescent="0.25">
      <c r="D870">
        <v>1</v>
      </c>
    </row>
    <row r="871" spans="4:4" x14ac:dyDescent="0.25">
      <c r="D871">
        <v>1</v>
      </c>
    </row>
    <row r="872" spans="4:4" x14ac:dyDescent="0.25">
      <c r="D872">
        <v>1</v>
      </c>
    </row>
    <row r="873" spans="4:4" x14ac:dyDescent="0.25">
      <c r="D873">
        <v>1</v>
      </c>
    </row>
    <row r="874" spans="4:4" x14ac:dyDescent="0.25">
      <c r="D874">
        <v>1</v>
      </c>
    </row>
    <row r="875" spans="4:4" x14ac:dyDescent="0.25">
      <c r="D875">
        <v>0</v>
      </c>
    </row>
    <row r="876" spans="4:4" x14ac:dyDescent="0.25">
      <c r="D876">
        <v>0</v>
      </c>
    </row>
    <row r="877" spans="4:4" x14ac:dyDescent="0.25">
      <c r="D877">
        <v>1</v>
      </c>
    </row>
    <row r="878" spans="4:4" x14ac:dyDescent="0.25">
      <c r="D878">
        <v>1</v>
      </c>
    </row>
    <row r="879" spans="4:4" x14ac:dyDescent="0.25">
      <c r="D879">
        <v>1</v>
      </c>
    </row>
    <row r="880" spans="4:4" x14ac:dyDescent="0.25">
      <c r="D880">
        <v>1</v>
      </c>
    </row>
    <row r="881" spans="4:4" x14ac:dyDescent="0.25">
      <c r="D881">
        <v>0</v>
      </c>
    </row>
    <row r="882" spans="4:4" x14ac:dyDescent="0.25">
      <c r="D882">
        <v>1</v>
      </c>
    </row>
    <row r="883" spans="4:4" x14ac:dyDescent="0.25">
      <c r="D883">
        <v>1</v>
      </c>
    </row>
    <row r="884" spans="4:4" x14ac:dyDescent="0.25">
      <c r="D884">
        <v>1</v>
      </c>
    </row>
    <row r="885" spans="4:4" x14ac:dyDescent="0.25">
      <c r="D885">
        <v>1</v>
      </c>
    </row>
    <row r="886" spans="4:4" x14ac:dyDescent="0.25">
      <c r="D886">
        <v>1</v>
      </c>
    </row>
    <row r="887" spans="4:4" x14ac:dyDescent="0.25">
      <c r="D887">
        <v>1</v>
      </c>
    </row>
    <row r="888" spans="4:4" x14ac:dyDescent="0.25">
      <c r="D888">
        <v>1</v>
      </c>
    </row>
    <row r="889" spans="4:4" x14ac:dyDescent="0.25">
      <c r="D889">
        <v>1</v>
      </c>
    </row>
    <row r="890" spans="4:4" x14ac:dyDescent="0.25">
      <c r="D890">
        <v>0</v>
      </c>
    </row>
    <row r="891" spans="4:4" x14ac:dyDescent="0.25">
      <c r="D891">
        <v>1</v>
      </c>
    </row>
    <row r="892" spans="4:4" x14ac:dyDescent="0.25">
      <c r="D892">
        <v>0</v>
      </c>
    </row>
    <row r="893" spans="4:4" x14ac:dyDescent="0.25">
      <c r="D893">
        <v>0</v>
      </c>
    </row>
    <row r="894" spans="4:4" x14ac:dyDescent="0.25">
      <c r="D894">
        <v>0</v>
      </c>
    </row>
    <row r="895" spans="4:4" x14ac:dyDescent="0.25">
      <c r="D895">
        <v>1</v>
      </c>
    </row>
    <row r="896" spans="4:4" x14ac:dyDescent="0.25">
      <c r="D896">
        <v>0</v>
      </c>
    </row>
    <row r="897" spans="4:4" x14ac:dyDescent="0.25">
      <c r="D897">
        <v>1</v>
      </c>
    </row>
    <row r="898" spans="4:4" x14ac:dyDescent="0.25">
      <c r="D898">
        <v>1</v>
      </c>
    </row>
    <row r="899" spans="4:4" x14ac:dyDescent="0.25">
      <c r="D899">
        <v>0</v>
      </c>
    </row>
    <row r="900" spans="4:4" x14ac:dyDescent="0.25">
      <c r="D900">
        <v>0</v>
      </c>
    </row>
    <row r="901" spans="4:4" x14ac:dyDescent="0.25">
      <c r="D901">
        <v>0</v>
      </c>
    </row>
    <row r="902" spans="4:4" x14ac:dyDescent="0.25">
      <c r="D902">
        <v>0</v>
      </c>
    </row>
    <row r="903" spans="4:4" x14ac:dyDescent="0.25">
      <c r="D903">
        <v>1</v>
      </c>
    </row>
    <row r="904" spans="4:4" x14ac:dyDescent="0.25">
      <c r="D904">
        <v>0</v>
      </c>
    </row>
    <row r="905" spans="4:4" x14ac:dyDescent="0.25">
      <c r="D905">
        <v>0</v>
      </c>
    </row>
    <row r="906" spans="4:4" x14ac:dyDescent="0.25">
      <c r="D906">
        <v>0</v>
      </c>
    </row>
    <row r="907" spans="4:4" x14ac:dyDescent="0.25">
      <c r="D907">
        <v>1</v>
      </c>
    </row>
    <row r="908" spans="4:4" x14ac:dyDescent="0.25">
      <c r="D908">
        <v>1</v>
      </c>
    </row>
    <row r="909" spans="4:4" x14ac:dyDescent="0.25">
      <c r="D909">
        <v>1</v>
      </c>
    </row>
    <row r="910" spans="4:4" x14ac:dyDescent="0.25">
      <c r="D910">
        <v>1</v>
      </c>
    </row>
    <row r="911" spans="4:4" x14ac:dyDescent="0.25">
      <c r="D911">
        <v>1</v>
      </c>
    </row>
    <row r="912" spans="4:4" x14ac:dyDescent="0.25">
      <c r="D912">
        <v>1</v>
      </c>
    </row>
    <row r="913" spans="4:4" x14ac:dyDescent="0.25">
      <c r="D913">
        <v>1</v>
      </c>
    </row>
    <row r="914" spans="4:4" x14ac:dyDescent="0.25">
      <c r="D914">
        <v>0</v>
      </c>
    </row>
    <row r="915" spans="4:4" x14ac:dyDescent="0.25">
      <c r="D915">
        <v>1</v>
      </c>
    </row>
    <row r="916" spans="4:4" x14ac:dyDescent="0.25">
      <c r="D916">
        <v>1</v>
      </c>
    </row>
    <row r="917" spans="4:4" x14ac:dyDescent="0.25">
      <c r="D917">
        <v>0</v>
      </c>
    </row>
    <row r="918" spans="4:4" x14ac:dyDescent="0.25">
      <c r="D918">
        <v>0</v>
      </c>
    </row>
    <row r="919" spans="4:4" x14ac:dyDescent="0.25">
      <c r="D919">
        <v>0</v>
      </c>
    </row>
    <row r="920" spans="4:4" x14ac:dyDescent="0.25">
      <c r="D920">
        <v>1</v>
      </c>
    </row>
    <row r="921" spans="4:4" x14ac:dyDescent="0.25">
      <c r="D921">
        <v>1</v>
      </c>
    </row>
    <row r="922" spans="4:4" x14ac:dyDescent="0.25">
      <c r="D922">
        <v>0</v>
      </c>
    </row>
    <row r="923" spans="4:4" x14ac:dyDescent="0.25">
      <c r="D923">
        <v>1</v>
      </c>
    </row>
    <row r="924" spans="4:4" x14ac:dyDescent="0.25">
      <c r="D924">
        <v>0</v>
      </c>
    </row>
    <row r="925" spans="4:4" x14ac:dyDescent="0.25">
      <c r="D925">
        <v>0</v>
      </c>
    </row>
    <row r="926" spans="4:4" x14ac:dyDescent="0.25">
      <c r="D926">
        <v>1</v>
      </c>
    </row>
    <row r="927" spans="4:4" x14ac:dyDescent="0.25">
      <c r="D927">
        <v>1</v>
      </c>
    </row>
    <row r="928" spans="4:4" x14ac:dyDescent="0.25">
      <c r="D928">
        <v>0</v>
      </c>
    </row>
    <row r="929" spans="4:4" x14ac:dyDescent="0.25">
      <c r="D929">
        <v>0</v>
      </c>
    </row>
    <row r="930" spans="4:4" x14ac:dyDescent="0.25">
      <c r="D930">
        <v>1</v>
      </c>
    </row>
    <row r="931" spans="4:4" x14ac:dyDescent="0.25">
      <c r="D931">
        <v>0</v>
      </c>
    </row>
    <row r="932" spans="4:4" x14ac:dyDescent="0.25">
      <c r="D932">
        <v>0</v>
      </c>
    </row>
    <row r="933" spans="4:4" x14ac:dyDescent="0.25">
      <c r="D933">
        <v>0</v>
      </c>
    </row>
    <row r="934" spans="4:4" x14ac:dyDescent="0.25">
      <c r="D934">
        <v>1</v>
      </c>
    </row>
    <row r="935" spans="4:4" x14ac:dyDescent="0.25">
      <c r="D935">
        <v>1</v>
      </c>
    </row>
    <row r="936" spans="4:4" x14ac:dyDescent="0.25">
      <c r="D936">
        <v>1</v>
      </c>
    </row>
    <row r="937" spans="4:4" x14ac:dyDescent="0.25">
      <c r="D937">
        <v>0</v>
      </c>
    </row>
    <row r="938" spans="4:4" x14ac:dyDescent="0.25">
      <c r="D938">
        <v>1</v>
      </c>
    </row>
    <row r="939" spans="4:4" x14ac:dyDescent="0.25">
      <c r="D939">
        <v>0</v>
      </c>
    </row>
    <row r="940" spans="4:4" x14ac:dyDescent="0.25">
      <c r="D940">
        <v>0</v>
      </c>
    </row>
    <row r="941" spans="4:4" x14ac:dyDescent="0.25">
      <c r="D941">
        <v>0</v>
      </c>
    </row>
    <row r="942" spans="4:4" x14ac:dyDescent="0.25">
      <c r="D942">
        <v>1</v>
      </c>
    </row>
    <row r="947" spans="4:4" x14ac:dyDescent="0.25">
      <c r="D947" t="s">
        <v>22</v>
      </c>
    </row>
    <row r="948" spans="4:4" x14ac:dyDescent="0.25">
      <c r="D948">
        <v>1</v>
      </c>
    </row>
    <row r="949" spans="4:4" x14ac:dyDescent="0.25">
      <c r="D949">
        <v>0</v>
      </c>
    </row>
    <row r="950" spans="4:4" x14ac:dyDescent="0.25">
      <c r="D950">
        <v>0</v>
      </c>
    </row>
    <row r="951" spans="4:4" x14ac:dyDescent="0.25">
      <c r="D951">
        <v>0</v>
      </c>
    </row>
    <row r="952" spans="4:4" x14ac:dyDescent="0.25">
      <c r="D952">
        <v>0</v>
      </c>
    </row>
    <row r="953" spans="4:4" x14ac:dyDescent="0.25">
      <c r="D953">
        <v>1</v>
      </c>
    </row>
    <row r="954" spans="4:4" x14ac:dyDescent="0.25">
      <c r="D954">
        <v>1</v>
      </c>
    </row>
    <row r="955" spans="4:4" x14ac:dyDescent="0.25">
      <c r="D955">
        <v>0</v>
      </c>
    </row>
    <row r="956" spans="4:4" x14ac:dyDescent="0.25">
      <c r="D956">
        <v>1</v>
      </c>
    </row>
    <row r="957" spans="4:4" x14ac:dyDescent="0.25">
      <c r="D957">
        <v>1</v>
      </c>
    </row>
    <row r="958" spans="4:4" x14ac:dyDescent="0.25">
      <c r="D958">
        <v>0</v>
      </c>
    </row>
    <row r="959" spans="4:4" x14ac:dyDescent="0.25">
      <c r="D959">
        <v>0</v>
      </c>
    </row>
    <row r="960" spans="4:4" x14ac:dyDescent="0.25">
      <c r="D960">
        <v>1</v>
      </c>
    </row>
    <row r="961" spans="4:4" x14ac:dyDescent="0.25">
      <c r="D961">
        <v>0</v>
      </c>
    </row>
    <row r="962" spans="4:4" x14ac:dyDescent="0.25">
      <c r="D962">
        <v>1</v>
      </c>
    </row>
    <row r="963" spans="4:4" x14ac:dyDescent="0.25">
      <c r="D963">
        <v>1</v>
      </c>
    </row>
    <row r="964" spans="4:4" x14ac:dyDescent="0.25">
      <c r="D964">
        <v>1</v>
      </c>
    </row>
    <row r="965" spans="4:4" x14ac:dyDescent="0.25">
      <c r="D965">
        <v>0</v>
      </c>
    </row>
    <row r="966" spans="4:4" x14ac:dyDescent="0.25">
      <c r="D966">
        <v>1</v>
      </c>
    </row>
    <row r="967" spans="4:4" x14ac:dyDescent="0.25">
      <c r="D967">
        <v>1</v>
      </c>
    </row>
    <row r="968" spans="4:4" x14ac:dyDescent="0.25">
      <c r="D968">
        <v>1</v>
      </c>
    </row>
    <row r="969" spans="4:4" x14ac:dyDescent="0.25">
      <c r="D969">
        <v>0</v>
      </c>
    </row>
    <row r="970" spans="4:4" x14ac:dyDescent="0.25">
      <c r="D970">
        <v>0</v>
      </c>
    </row>
    <row r="971" spans="4:4" x14ac:dyDescent="0.25">
      <c r="D971">
        <v>0</v>
      </c>
    </row>
    <row r="972" spans="4:4" x14ac:dyDescent="0.25">
      <c r="D972">
        <v>1</v>
      </c>
    </row>
    <row r="973" spans="4:4" x14ac:dyDescent="0.25">
      <c r="D973">
        <v>1</v>
      </c>
    </row>
    <row r="974" spans="4:4" x14ac:dyDescent="0.25">
      <c r="D974">
        <v>1</v>
      </c>
    </row>
    <row r="975" spans="4:4" x14ac:dyDescent="0.25">
      <c r="D975">
        <v>0</v>
      </c>
    </row>
    <row r="976" spans="4:4" x14ac:dyDescent="0.25">
      <c r="D976">
        <v>1</v>
      </c>
    </row>
    <row r="977" spans="4:4" x14ac:dyDescent="0.25">
      <c r="D977">
        <v>1</v>
      </c>
    </row>
    <row r="978" spans="4:4" x14ac:dyDescent="0.25">
      <c r="D978">
        <v>0</v>
      </c>
    </row>
    <row r="979" spans="4:4" x14ac:dyDescent="0.25">
      <c r="D979">
        <v>0</v>
      </c>
    </row>
    <row r="980" spans="4:4" x14ac:dyDescent="0.25">
      <c r="D980">
        <v>0</v>
      </c>
    </row>
    <row r="981" spans="4:4" x14ac:dyDescent="0.25">
      <c r="D981">
        <v>1</v>
      </c>
    </row>
    <row r="982" spans="4:4" x14ac:dyDescent="0.25">
      <c r="D982">
        <v>0</v>
      </c>
    </row>
    <row r="983" spans="4:4" x14ac:dyDescent="0.25">
      <c r="D983">
        <v>0</v>
      </c>
    </row>
    <row r="984" spans="4:4" x14ac:dyDescent="0.25">
      <c r="D984">
        <v>0</v>
      </c>
    </row>
    <row r="985" spans="4:4" x14ac:dyDescent="0.25">
      <c r="D985">
        <v>1</v>
      </c>
    </row>
    <row r="986" spans="4:4" x14ac:dyDescent="0.25">
      <c r="D986">
        <v>1</v>
      </c>
    </row>
    <row r="987" spans="4:4" x14ac:dyDescent="0.25">
      <c r="D987">
        <v>0</v>
      </c>
    </row>
    <row r="988" spans="4:4" x14ac:dyDescent="0.25">
      <c r="D988">
        <v>0</v>
      </c>
    </row>
    <row r="989" spans="4:4" x14ac:dyDescent="0.25">
      <c r="D989">
        <v>0</v>
      </c>
    </row>
    <row r="990" spans="4:4" x14ac:dyDescent="0.25">
      <c r="D990">
        <v>1</v>
      </c>
    </row>
    <row r="991" spans="4:4" x14ac:dyDescent="0.25">
      <c r="D991">
        <v>0</v>
      </c>
    </row>
    <row r="992" spans="4:4" x14ac:dyDescent="0.25">
      <c r="D992">
        <v>0</v>
      </c>
    </row>
    <row r="993" spans="4:4" x14ac:dyDescent="0.25">
      <c r="D993">
        <v>1</v>
      </c>
    </row>
    <row r="994" spans="4:4" x14ac:dyDescent="0.25">
      <c r="D994">
        <v>0</v>
      </c>
    </row>
    <row r="995" spans="4:4" x14ac:dyDescent="0.25">
      <c r="D995">
        <v>1</v>
      </c>
    </row>
    <row r="996" spans="4:4" x14ac:dyDescent="0.25">
      <c r="D996">
        <v>0</v>
      </c>
    </row>
    <row r="997" spans="4:4" x14ac:dyDescent="0.25">
      <c r="D997">
        <v>0</v>
      </c>
    </row>
    <row r="998" spans="4:4" x14ac:dyDescent="0.25">
      <c r="D998">
        <v>1</v>
      </c>
    </row>
    <row r="999" spans="4:4" x14ac:dyDescent="0.25">
      <c r="D999">
        <v>0</v>
      </c>
    </row>
    <row r="1000" spans="4:4" x14ac:dyDescent="0.25">
      <c r="D1000">
        <v>0</v>
      </c>
    </row>
    <row r="1001" spans="4:4" x14ac:dyDescent="0.25">
      <c r="D1001">
        <v>0</v>
      </c>
    </row>
    <row r="1002" spans="4:4" x14ac:dyDescent="0.25">
      <c r="D1002">
        <v>0</v>
      </c>
    </row>
    <row r="1003" spans="4:4" x14ac:dyDescent="0.25">
      <c r="D1003">
        <v>0</v>
      </c>
    </row>
    <row r="1004" spans="4:4" x14ac:dyDescent="0.25">
      <c r="D1004">
        <v>0</v>
      </c>
    </row>
    <row r="1005" spans="4:4" x14ac:dyDescent="0.25">
      <c r="D1005">
        <v>1</v>
      </c>
    </row>
    <row r="1006" spans="4:4" x14ac:dyDescent="0.25">
      <c r="D1006">
        <v>1</v>
      </c>
    </row>
    <row r="1007" spans="4:4" x14ac:dyDescent="0.25">
      <c r="D1007">
        <v>0</v>
      </c>
    </row>
    <row r="1008" spans="4:4" x14ac:dyDescent="0.25">
      <c r="D1008">
        <v>1</v>
      </c>
    </row>
    <row r="1009" spans="4:4" x14ac:dyDescent="0.25">
      <c r="D1009">
        <v>0</v>
      </c>
    </row>
    <row r="1010" spans="4:4" x14ac:dyDescent="0.25">
      <c r="D1010">
        <v>0</v>
      </c>
    </row>
    <row r="1011" spans="4:4" x14ac:dyDescent="0.25">
      <c r="D1011">
        <v>0</v>
      </c>
    </row>
    <row r="1012" spans="4:4" x14ac:dyDescent="0.25">
      <c r="D1012">
        <v>0</v>
      </c>
    </row>
    <row r="1013" spans="4:4" x14ac:dyDescent="0.25">
      <c r="D1013">
        <v>1</v>
      </c>
    </row>
    <row r="1014" spans="4:4" x14ac:dyDescent="0.25">
      <c r="D1014">
        <v>0</v>
      </c>
    </row>
    <row r="1015" spans="4:4" x14ac:dyDescent="0.25">
      <c r="D1015">
        <v>0</v>
      </c>
    </row>
    <row r="1016" spans="4:4" x14ac:dyDescent="0.25">
      <c r="D1016">
        <v>1</v>
      </c>
    </row>
    <row r="1017" spans="4:4" x14ac:dyDescent="0.25">
      <c r="D1017">
        <v>0</v>
      </c>
    </row>
    <row r="1018" spans="4:4" x14ac:dyDescent="0.25">
      <c r="D1018">
        <v>0</v>
      </c>
    </row>
    <row r="1019" spans="4:4" x14ac:dyDescent="0.25">
      <c r="D1019">
        <v>0</v>
      </c>
    </row>
    <row r="1020" spans="4:4" x14ac:dyDescent="0.25">
      <c r="D1020">
        <v>0</v>
      </c>
    </row>
    <row r="1021" spans="4:4" x14ac:dyDescent="0.25">
      <c r="D1021">
        <v>0</v>
      </c>
    </row>
    <row r="1022" spans="4:4" x14ac:dyDescent="0.25">
      <c r="D1022">
        <v>0</v>
      </c>
    </row>
    <row r="1023" spans="4:4" x14ac:dyDescent="0.25">
      <c r="D1023">
        <v>1</v>
      </c>
    </row>
    <row r="1024" spans="4:4" x14ac:dyDescent="0.25">
      <c r="D1024">
        <v>1</v>
      </c>
    </row>
    <row r="1025" spans="4:4" x14ac:dyDescent="0.25">
      <c r="D1025">
        <v>0</v>
      </c>
    </row>
    <row r="1026" spans="4:4" x14ac:dyDescent="0.25">
      <c r="D1026">
        <v>0</v>
      </c>
    </row>
    <row r="1027" spans="4:4" x14ac:dyDescent="0.25">
      <c r="D1027">
        <v>1</v>
      </c>
    </row>
    <row r="1028" spans="4:4" x14ac:dyDescent="0.25">
      <c r="D1028">
        <v>0</v>
      </c>
    </row>
    <row r="1029" spans="4:4" x14ac:dyDescent="0.25">
      <c r="D1029">
        <v>0</v>
      </c>
    </row>
    <row r="1030" spans="4:4" x14ac:dyDescent="0.25">
      <c r="D1030">
        <v>0</v>
      </c>
    </row>
    <row r="1031" spans="4:4" x14ac:dyDescent="0.25">
      <c r="D1031">
        <v>1</v>
      </c>
    </row>
    <row r="1032" spans="4:4" x14ac:dyDescent="0.25">
      <c r="D1032">
        <v>1</v>
      </c>
    </row>
    <row r="1033" spans="4:4" x14ac:dyDescent="0.25">
      <c r="D1033">
        <v>1</v>
      </c>
    </row>
    <row r="1034" spans="4:4" x14ac:dyDescent="0.25">
      <c r="D1034">
        <v>1</v>
      </c>
    </row>
    <row r="1035" spans="4:4" x14ac:dyDescent="0.25">
      <c r="D1035">
        <v>0</v>
      </c>
    </row>
    <row r="1036" spans="4:4" x14ac:dyDescent="0.25">
      <c r="D1036">
        <v>1</v>
      </c>
    </row>
    <row r="1037" spans="4:4" x14ac:dyDescent="0.25">
      <c r="D1037">
        <v>0</v>
      </c>
    </row>
    <row r="1038" spans="4:4" x14ac:dyDescent="0.25">
      <c r="D1038">
        <v>0</v>
      </c>
    </row>
    <row r="1039" spans="4:4" x14ac:dyDescent="0.25">
      <c r="D1039">
        <v>0</v>
      </c>
    </row>
    <row r="1040" spans="4:4" x14ac:dyDescent="0.25">
      <c r="D1040">
        <v>0</v>
      </c>
    </row>
    <row r="1041" spans="4:4" x14ac:dyDescent="0.25">
      <c r="D1041">
        <v>1</v>
      </c>
    </row>
    <row r="1042" spans="4:4" x14ac:dyDescent="0.25">
      <c r="D1042">
        <v>0</v>
      </c>
    </row>
    <row r="1043" spans="4:4" x14ac:dyDescent="0.25">
      <c r="D1043">
        <v>0</v>
      </c>
    </row>
    <row r="1044" spans="4:4" x14ac:dyDescent="0.25">
      <c r="D1044">
        <v>1</v>
      </c>
    </row>
    <row r="1045" spans="4:4" x14ac:dyDescent="0.25">
      <c r="D1045">
        <v>1</v>
      </c>
    </row>
    <row r="1046" spans="4:4" x14ac:dyDescent="0.25">
      <c r="D1046">
        <v>0</v>
      </c>
    </row>
    <row r="1047" spans="4:4" x14ac:dyDescent="0.25">
      <c r="D1047">
        <v>1</v>
      </c>
    </row>
    <row r="1048" spans="4:4" x14ac:dyDescent="0.25">
      <c r="D1048">
        <v>1</v>
      </c>
    </row>
    <row r="1049" spans="4:4" x14ac:dyDescent="0.25">
      <c r="D1049">
        <v>0</v>
      </c>
    </row>
    <row r="1050" spans="4:4" x14ac:dyDescent="0.25">
      <c r="D1050">
        <v>1</v>
      </c>
    </row>
    <row r="1051" spans="4:4" x14ac:dyDescent="0.25">
      <c r="D1051">
        <v>1</v>
      </c>
    </row>
    <row r="1052" spans="4:4" x14ac:dyDescent="0.25">
      <c r="D1052">
        <v>1</v>
      </c>
    </row>
    <row r="1053" spans="4:4" x14ac:dyDescent="0.25">
      <c r="D1053">
        <v>1</v>
      </c>
    </row>
    <row r="1054" spans="4:4" x14ac:dyDescent="0.25">
      <c r="D1054">
        <v>0</v>
      </c>
    </row>
    <row r="1055" spans="4:4" x14ac:dyDescent="0.25">
      <c r="D1055">
        <v>1</v>
      </c>
    </row>
    <row r="1056" spans="4:4" x14ac:dyDescent="0.25">
      <c r="D1056">
        <v>1</v>
      </c>
    </row>
    <row r="1057" spans="4:4" x14ac:dyDescent="0.25">
      <c r="D1057">
        <v>1</v>
      </c>
    </row>
    <row r="1058" spans="4:4" x14ac:dyDescent="0.25">
      <c r="D1058">
        <v>0</v>
      </c>
    </row>
    <row r="1059" spans="4:4" x14ac:dyDescent="0.25">
      <c r="D1059">
        <v>1</v>
      </c>
    </row>
    <row r="1060" spans="4:4" x14ac:dyDescent="0.25">
      <c r="D1060">
        <v>0</v>
      </c>
    </row>
    <row r="1061" spans="4:4" x14ac:dyDescent="0.25">
      <c r="D1061">
        <v>1</v>
      </c>
    </row>
    <row r="1062" spans="4:4" x14ac:dyDescent="0.25">
      <c r="D1062">
        <v>0</v>
      </c>
    </row>
    <row r="1063" spans="4:4" x14ac:dyDescent="0.25">
      <c r="D1063">
        <v>1</v>
      </c>
    </row>
    <row r="1064" spans="4:4" x14ac:dyDescent="0.25">
      <c r="D1064">
        <v>1</v>
      </c>
    </row>
    <row r="1065" spans="4:4" x14ac:dyDescent="0.25">
      <c r="D1065">
        <v>1</v>
      </c>
    </row>
    <row r="1066" spans="4:4" x14ac:dyDescent="0.25">
      <c r="D1066">
        <v>0</v>
      </c>
    </row>
    <row r="1067" spans="4:4" x14ac:dyDescent="0.25">
      <c r="D1067">
        <v>1</v>
      </c>
    </row>
    <row r="1068" spans="4:4" x14ac:dyDescent="0.25">
      <c r="D1068">
        <v>0</v>
      </c>
    </row>
    <row r="1069" spans="4:4" x14ac:dyDescent="0.25">
      <c r="D1069">
        <v>0</v>
      </c>
    </row>
    <row r="1070" spans="4:4" x14ac:dyDescent="0.25">
      <c r="D1070">
        <v>1</v>
      </c>
    </row>
    <row r="1071" spans="4:4" x14ac:dyDescent="0.25">
      <c r="D1071">
        <v>0</v>
      </c>
    </row>
    <row r="1072" spans="4:4" x14ac:dyDescent="0.25">
      <c r="D1072">
        <v>0</v>
      </c>
    </row>
    <row r="1073" spans="4:4" x14ac:dyDescent="0.25">
      <c r="D1073">
        <v>0</v>
      </c>
    </row>
    <row r="1074" spans="4:4" x14ac:dyDescent="0.25">
      <c r="D1074">
        <v>0</v>
      </c>
    </row>
    <row r="1075" spans="4:4" x14ac:dyDescent="0.25">
      <c r="D1075">
        <v>0</v>
      </c>
    </row>
    <row r="1076" spans="4:4" x14ac:dyDescent="0.25">
      <c r="D1076">
        <v>1</v>
      </c>
    </row>
    <row r="1077" spans="4:4" x14ac:dyDescent="0.25">
      <c r="D1077">
        <v>0</v>
      </c>
    </row>
    <row r="1083" spans="4:4" x14ac:dyDescent="0.25">
      <c r="D1083" t="s">
        <v>101</v>
      </c>
    </row>
    <row r="1084" spans="4:4" x14ac:dyDescent="0.25">
      <c r="D1084">
        <v>1</v>
      </c>
    </row>
    <row r="1085" spans="4:4" x14ac:dyDescent="0.25">
      <c r="D1085">
        <v>0</v>
      </c>
    </row>
    <row r="1086" spans="4:4" x14ac:dyDescent="0.25">
      <c r="D1086">
        <v>1</v>
      </c>
    </row>
    <row r="1087" spans="4:4" x14ac:dyDescent="0.25">
      <c r="D1087">
        <v>1</v>
      </c>
    </row>
    <row r="1088" spans="4:4" x14ac:dyDescent="0.25">
      <c r="D1088">
        <v>0</v>
      </c>
    </row>
    <row r="1089" spans="4:4" x14ac:dyDescent="0.25">
      <c r="D1089">
        <v>1</v>
      </c>
    </row>
    <row r="1090" spans="4:4" x14ac:dyDescent="0.25">
      <c r="D1090">
        <v>0</v>
      </c>
    </row>
    <row r="1091" spans="4:4" x14ac:dyDescent="0.25">
      <c r="D1091">
        <v>1</v>
      </c>
    </row>
    <row r="1092" spans="4:4" x14ac:dyDescent="0.25">
      <c r="D1092">
        <v>1</v>
      </c>
    </row>
    <row r="1093" spans="4:4" x14ac:dyDescent="0.25">
      <c r="D1093">
        <v>0</v>
      </c>
    </row>
    <row r="1094" spans="4:4" x14ac:dyDescent="0.25">
      <c r="D1094">
        <v>0</v>
      </c>
    </row>
    <row r="1095" spans="4:4" x14ac:dyDescent="0.25">
      <c r="D1095">
        <v>0</v>
      </c>
    </row>
    <row r="1096" spans="4:4" x14ac:dyDescent="0.25">
      <c r="D1096">
        <v>1</v>
      </c>
    </row>
    <row r="1097" spans="4:4" x14ac:dyDescent="0.25">
      <c r="D1097">
        <v>1</v>
      </c>
    </row>
    <row r="1098" spans="4:4" x14ac:dyDescent="0.25">
      <c r="D1098">
        <v>0</v>
      </c>
    </row>
    <row r="1099" spans="4:4" x14ac:dyDescent="0.25">
      <c r="D1099">
        <v>1</v>
      </c>
    </row>
    <row r="1100" spans="4:4" x14ac:dyDescent="0.25">
      <c r="D1100">
        <v>1</v>
      </c>
    </row>
    <row r="1101" spans="4:4" x14ac:dyDescent="0.25">
      <c r="D1101">
        <v>0</v>
      </c>
    </row>
    <row r="1102" spans="4:4" x14ac:dyDescent="0.25">
      <c r="D1102">
        <v>1</v>
      </c>
    </row>
    <row r="1103" spans="4:4" x14ac:dyDescent="0.25">
      <c r="D1103">
        <v>1</v>
      </c>
    </row>
    <row r="1104" spans="4:4" x14ac:dyDescent="0.25">
      <c r="D1104">
        <v>0</v>
      </c>
    </row>
    <row r="1105" spans="4:4" x14ac:dyDescent="0.25">
      <c r="D1105">
        <v>1</v>
      </c>
    </row>
    <row r="1106" spans="4:4" x14ac:dyDescent="0.25">
      <c r="D1106">
        <v>1</v>
      </c>
    </row>
    <row r="1107" spans="4:4" x14ac:dyDescent="0.25">
      <c r="D1107">
        <v>0</v>
      </c>
    </row>
    <row r="1108" spans="4:4" x14ac:dyDescent="0.25">
      <c r="D1108">
        <v>0</v>
      </c>
    </row>
    <row r="1109" spans="4:4" x14ac:dyDescent="0.25">
      <c r="D1109">
        <v>0</v>
      </c>
    </row>
    <row r="1110" spans="4:4" x14ac:dyDescent="0.25">
      <c r="D1110">
        <v>1</v>
      </c>
    </row>
    <row r="1111" spans="4:4" x14ac:dyDescent="0.25">
      <c r="D1111">
        <v>1</v>
      </c>
    </row>
    <row r="1112" spans="4:4" x14ac:dyDescent="0.25">
      <c r="D1112">
        <v>1</v>
      </c>
    </row>
    <row r="1113" spans="4:4" x14ac:dyDescent="0.25">
      <c r="D1113">
        <v>1</v>
      </c>
    </row>
    <row r="1114" spans="4:4" x14ac:dyDescent="0.25">
      <c r="D1114">
        <v>1</v>
      </c>
    </row>
    <row r="1115" spans="4:4" x14ac:dyDescent="0.25">
      <c r="D1115">
        <v>0</v>
      </c>
    </row>
    <row r="1116" spans="4:4" x14ac:dyDescent="0.25">
      <c r="D1116">
        <v>1</v>
      </c>
    </row>
    <row r="1117" spans="4:4" x14ac:dyDescent="0.25">
      <c r="D1117">
        <v>0</v>
      </c>
    </row>
    <row r="1118" spans="4:4" x14ac:dyDescent="0.25">
      <c r="D1118">
        <v>1</v>
      </c>
    </row>
    <row r="1119" spans="4:4" x14ac:dyDescent="0.25">
      <c r="D1119">
        <v>1</v>
      </c>
    </row>
    <row r="1120" spans="4:4" x14ac:dyDescent="0.25">
      <c r="D1120">
        <v>1</v>
      </c>
    </row>
    <row r="1121" spans="4:4" x14ac:dyDescent="0.25">
      <c r="D1121">
        <v>1</v>
      </c>
    </row>
    <row r="1122" spans="4:4" x14ac:dyDescent="0.25">
      <c r="D1122">
        <v>1</v>
      </c>
    </row>
    <row r="1123" spans="4:4" x14ac:dyDescent="0.25">
      <c r="D1123">
        <v>1</v>
      </c>
    </row>
    <row r="1124" spans="4:4" x14ac:dyDescent="0.25">
      <c r="D1124">
        <v>1</v>
      </c>
    </row>
    <row r="1125" spans="4:4" x14ac:dyDescent="0.25">
      <c r="D1125">
        <v>1</v>
      </c>
    </row>
    <row r="1126" spans="4:4" x14ac:dyDescent="0.25">
      <c r="D1126">
        <v>0</v>
      </c>
    </row>
    <row r="1127" spans="4:4" x14ac:dyDescent="0.25">
      <c r="D1127">
        <v>0</v>
      </c>
    </row>
    <row r="1128" spans="4:4" x14ac:dyDescent="0.25">
      <c r="D1128">
        <v>1</v>
      </c>
    </row>
    <row r="1129" spans="4:4" x14ac:dyDescent="0.25">
      <c r="D1129">
        <v>1</v>
      </c>
    </row>
    <row r="1130" spans="4:4" x14ac:dyDescent="0.25">
      <c r="D1130">
        <v>1</v>
      </c>
    </row>
    <row r="1131" spans="4:4" x14ac:dyDescent="0.25">
      <c r="D1131">
        <v>0</v>
      </c>
    </row>
    <row r="1132" spans="4:4" x14ac:dyDescent="0.25">
      <c r="D1132">
        <v>1</v>
      </c>
    </row>
    <row r="1133" spans="4:4" x14ac:dyDescent="0.25">
      <c r="D1133">
        <v>0</v>
      </c>
    </row>
    <row r="1134" spans="4:4" x14ac:dyDescent="0.25">
      <c r="D1134">
        <v>1</v>
      </c>
    </row>
    <row r="1135" spans="4:4" x14ac:dyDescent="0.25">
      <c r="D1135">
        <v>0</v>
      </c>
    </row>
    <row r="1136" spans="4:4" x14ac:dyDescent="0.25">
      <c r="D1136">
        <v>1</v>
      </c>
    </row>
    <row r="1137" spans="4:4" x14ac:dyDescent="0.25">
      <c r="D1137">
        <v>0</v>
      </c>
    </row>
    <row r="1138" spans="4:4" x14ac:dyDescent="0.25">
      <c r="D1138">
        <v>1</v>
      </c>
    </row>
    <row r="1139" spans="4:4" x14ac:dyDescent="0.25">
      <c r="D1139">
        <v>1</v>
      </c>
    </row>
    <row r="1140" spans="4:4" x14ac:dyDescent="0.25">
      <c r="D1140">
        <v>1</v>
      </c>
    </row>
    <row r="1141" spans="4:4" x14ac:dyDescent="0.25">
      <c r="D1141">
        <v>1</v>
      </c>
    </row>
    <row r="1142" spans="4:4" x14ac:dyDescent="0.25">
      <c r="D1142">
        <v>1</v>
      </c>
    </row>
    <row r="1143" spans="4:4" x14ac:dyDescent="0.25">
      <c r="D1143">
        <v>1</v>
      </c>
    </row>
    <row r="1144" spans="4:4" x14ac:dyDescent="0.25">
      <c r="D1144">
        <v>0</v>
      </c>
    </row>
    <row r="1145" spans="4:4" x14ac:dyDescent="0.25">
      <c r="D1145">
        <v>1</v>
      </c>
    </row>
    <row r="1146" spans="4:4" x14ac:dyDescent="0.25">
      <c r="D1146">
        <v>0</v>
      </c>
    </row>
    <row r="1147" spans="4:4" x14ac:dyDescent="0.25">
      <c r="D1147">
        <v>0</v>
      </c>
    </row>
    <row r="1148" spans="4:4" x14ac:dyDescent="0.25">
      <c r="D1148">
        <v>0</v>
      </c>
    </row>
    <row r="1149" spans="4:4" x14ac:dyDescent="0.25">
      <c r="D1149">
        <v>1</v>
      </c>
    </row>
    <row r="1150" spans="4:4" x14ac:dyDescent="0.25">
      <c r="D1150">
        <v>1</v>
      </c>
    </row>
    <row r="1151" spans="4:4" x14ac:dyDescent="0.25">
      <c r="D1151">
        <v>1</v>
      </c>
    </row>
    <row r="1152" spans="4:4" x14ac:dyDescent="0.25">
      <c r="D1152">
        <v>0</v>
      </c>
    </row>
    <row r="1153" spans="4:4" x14ac:dyDescent="0.25">
      <c r="D1153">
        <v>0</v>
      </c>
    </row>
    <row r="1154" spans="4:4" x14ac:dyDescent="0.25">
      <c r="D1154">
        <v>0</v>
      </c>
    </row>
    <row r="1155" spans="4:4" x14ac:dyDescent="0.25">
      <c r="D1155">
        <v>1</v>
      </c>
    </row>
    <row r="1156" spans="4:4" x14ac:dyDescent="0.25">
      <c r="D1156">
        <v>1</v>
      </c>
    </row>
    <row r="1157" spans="4:4" x14ac:dyDescent="0.25">
      <c r="D1157">
        <v>1</v>
      </c>
    </row>
    <row r="1158" spans="4:4" x14ac:dyDescent="0.25">
      <c r="D1158">
        <v>0</v>
      </c>
    </row>
    <row r="1159" spans="4:4" x14ac:dyDescent="0.25">
      <c r="D1159">
        <v>0</v>
      </c>
    </row>
    <row r="1160" spans="4:4" x14ac:dyDescent="0.25">
      <c r="D1160">
        <v>1</v>
      </c>
    </row>
    <row r="1161" spans="4:4" x14ac:dyDescent="0.25">
      <c r="D1161">
        <v>1</v>
      </c>
    </row>
    <row r="1162" spans="4:4" x14ac:dyDescent="0.25">
      <c r="D1162">
        <v>1</v>
      </c>
    </row>
    <row r="1163" spans="4:4" x14ac:dyDescent="0.25">
      <c r="D1163">
        <v>1</v>
      </c>
    </row>
    <row r="1164" spans="4:4" x14ac:dyDescent="0.25">
      <c r="D1164">
        <v>0</v>
      </c>
    </row>
    <row r="1165" spans="4:4" x14ac:dyDescent="0.25">
      <c r="D1165">
        <v>1</v>
      </c>
    </row>
    <row r="1166" spans="4:4" x14ac:dyDescent="0.25">
      <c r="D1166">
        <v>0</v>
      </c>
    </row>
    <row r="1167" spans="4:4" x14ac:dyDescent="0.25">
      <c r="D1167">
        <v>0</v>
      </c>
    </row>
    <row r="1168" spans="4:4" x14ac:dyDescent="0.25">
      <c r="D1168">
        <v>0</v>
      </c>
    </row>
    <row r="1169" spans="4:4" x14ac:dyDescent="0.25">
      <c r="D1169">
        <v>0</v>
      </c>
    </row>
    <row r="1170" spans="4:4" x14ac:dyDescent="0.25">
      <c r="D1170">
        <v>1</v>
      </c>
    </row>
    <row r="1171" spans="4:4" x14ac:dyDescent="0.25">
      <c r="D1171">
        <v>0</v>
      </c>
    </row>
    <row r="1172" spans="4:4" x14ac:dyDescent="0.25">
      <c r="D1172">
        <v>0</v>
      </c>
    </row>
    <row r="1173" spans="4:4" x14ac:dyDescent="0.25">
      <c r="D1173">
        <v>0</v>
      </c>
    </row>
    <row r="1174" spans="4:4" x14ac:dyDescent="0.25">
      <c r="D1174">
        <v>0</v>
      </c>
    </row>
    <row r="1175" spans="4:4" x14ac:dyDescent="0.25">
      <c r="D1175">
        <v>1</v>
      </c>
    </row>
    <row r="1176" spans="4:4" x14ac:dyDescent="0.25">
      <c r="D1176">
        <v>0</v>
      </c>
    </row>
    <row r="1177" spans="4:4" x14ac:dyDescent="0.25">
      <c r="D1177">
        <v>1</v>
      </c>
    </row>
    <row r="1178" spans="4:4" x14ac:dyDescent="0.25">
      <c r="D1178">
        <v>0</v>
      </c>
    </row>
    <row r="1179" spans="4:4" x14ac:dyDescent="0.25">
      <c r="D1179">
        <v>1</v>
      </c>
    </row>
    <row r="1180" spans="4:4" x14ac:dyDescent="0.25">
      <c r="D1180">
        <v>1</v>
      </c>
    </row>
    <row r="1181" spans="4:4" x14ac:dyDescent="0.25">
      <c r="D1181">
        <v>1</v>
      </c>
    </row>
    <row r="1182" spans="4:4" x14ac:dyDescent="0.25">
      <c r="D1182">
        <v>0</v>
      </c>
    </row>
    <row r="1183" spans="4:4" x14ac:dyDescent="0.25">
      <c r="D1183">
        <v>1</v>
      </c>
    </row>
    <row r="1184" spans="4:4" x14ac:dyDescent="0.25">
      <c r="D1184">
        <v>1</v>
      </c>
    </row>
    <row r="1185" spans="4:4" x14ac:dyDescent="0.25">
      <c r="D1185">
        <v>0</v>
      </c>
    </row>
    <row r="1186" spans="4:4" x14ac:dyDescent="0.25">
      <c r="D1186">
        <v>0</v>
      </c>
    </row>
    <row r="1187" spans="4:4" x14ac:dyDescent="0.25">
      <c r="D1187">
        <v>1</v>
      </c>
    </row>
    <row r="1188" spans="4:4" x14ac:dyDescent="0.25">
      <c r="D1188">
        <v>0</v>
      </c>
    </row>
    <row r="1189" spans="4:4" x14ac:dyDescent="0.25">
      <c r="D1189">
        <v>0</v>
      </c>
    </row>
    <row r="1190" spans="4:4" x14ac:dyDescent="0.25">
      <c r="D1190">
        <v>1</v>
      </c>
    </row>
    <row r="1191" spans="4:4" x14ac:dyDescent="0.25">
      <c r="D1191">
        <v>0</v>
      </c>
    </row>
    <row r="1192" spans="4:4" x14ac:dyDescent="0.25">
      <c r="D1192">
        <v>1</v>
      </c>
    </row>
    <row r="1193" spans="4:4" x14ac:dyDescent="0.25">
      <c r="D1193">
        <v>1</v>
      </c>
    </row>
    <row r="1194" spans="4:4" x14ac:dyDescent="0.25">
      <c r="D1194">
        <v>1</v>
      </c>
    </row>
    <row r="1195" spans="4:4" x14ac:dyDescent="0.25">
      <c r="D1195">
        <v>1</v>
      </c>
    </row>
    <row r="1196" spans="4:4" x14ac:dyDescent="0.25">
      <c r="D1196">
        <v>1</v>
      </c>
    </row>
    <row r="1197" spans="4:4" x14ac:dyDescent="0.25">
      <c r="D1197">
        <v>0</v>
      </c>
    </row>
    <row r="1198" spans="4:4" x14ac:dyDescent="0.25">
      <c r="D1198">
        <v>0</v>
      </c>
    </row>
    <row r="1199" spans="4:4" x14ac:dyDescent="0.25">
      <c r="D1199">
        <v>1</v>
      </c>
    </row>
    <row r="1200" spans="4:4" x14ac:dyDescent="0.25">
      <c r="D1200">
        <v>0</v>
      </c>
    </row>
    <row r="1201" spans="4:4" x14ac:dyDescent="0.25">
      <c r="D1201">
        <v>0</v>
      </c>
    </row>
    <row r="1202" spans="4:4" x14ac:dyDescent="0.25">
      <c r="D1202">
        <v>1</v>
      </c>
    </row>
    <row r="1203" spans="4:4" x14ac:dyDescent="0.25">
      <c r="D1203">
        <v>0</v>
      </c>
    </row>
    <row r="1204" spans="4:4" x14ac:dyDescent="0.25">
      <c r="D1204">
        <v>0</v>
      </c>
    </row>
    <row r="1205" spans="4:4" x14ac:dyDescent="0.25">
      <c r="D1205">
        <v>0</v>
      </c>
    </row>
    <row r="1206" spans="4:4" x14ac:dyDescent="0.25">
      <c r="D1206">
        <v>1</v>
      </c>
    </row>
    <row r="1207" spans="4:4" x14ac:dyDescent="0.25">
      <c r="D1207">
        <v>0</v>
      </c>
    </row>
    <row r="1208" spans="4:4" x14ac:dyDescent="0.25">
      <c r="D1208">
        <v>1</v>
      </c>
    </row>
    <row r="1209" spans="4:4" x14ac:dyDescent="0.25">
      <c r="D1209">
        <v>0</v>
      </c>
    </row>
    <row r="1210" spans="4:4" x14ac:dyDescent="0.25">
      <c r="D1210">
        <v>0</v>
      </c>
    </row>
    <row r="1211" spans="4:4" x14ac:dyDescent="0.25">
      <c r="D1211">
        <v>1</v>
      </c>
    </row>
    <row r="1212" spans="4:4" x14ac:dyDescent="0.25">
      <c r="D1212">
        <v>1</v>
      </c>
    </row>
    <row r="1213" spans="4:4" x14ac:dyDescent="0.25">
      <c r="D1213">
        <v>1</v>
      </c>
    </row>
  </sheetData>
  <mergeCells count="26">
    <mergeCell ref="B100:B104"/>
    <mergeCell ref="B105:B109"/>
    <mergeCell ref="B110:B114"/>
    <mergeCell ref="B115:B119"/>
    <mergeCell ref="B125:B129"/>
    <mergeCell ref="B130:B134"/>
    <mergeCell ref="B5:B9"/>
    <mergeCell ref="B10:B14"/>
    <mergeCell ref="B15:B19"/>
    <mergeCell ref="B20:B24"/>
    <mergeCell ref="B25:B29"/>
    <mergeCell ref="B35:B39"/>
    <mergeCell ref="B40:B44"/>
    <mergeCell ref="B45:B49"/>
    <mergeCell ref="B120:B124"/>
    <mergeCell ref="B90:B94"/>
    <mergeCell ref="B75:B79"/>
    <mergeCell ref="B80:B84"/>
    <mergeCell ref="B85:B89"/>
    <mergeCell ref="B95:B99"/>
    <mergeCell ref="B60:B64"/>
    <mergeCell ref="B50:B54"/>
    <mergeCell ref="B55:B59"/>
    <mergeCell ref="B65:B69"/>
    <mergeCell ref="B70:B74"/>
    <mergeCell ref="B30:B3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7CE2E-07C3-4BC4-8704-8B668E4B6020}">
  <dimension ref="A2:H64"/>
  <sheetViews>
    <sheetView topLeftCell="F1" workbookViewId="0">
      <pane ySplit="528" topLeftCell="A48" activePane="bottomLeft"/>
      <selection activeCell="E1" sqref="E1:F1048576"/>
      <selection pane="bottomLeft" activeCell="A14" sqref="A14"/>
    </sheetView>
  </sheetViews>
  <sheetFormatPr defaultRowHeight="13.2" x14ac:dyDescent="0.25"/>
  <cols>
    <col min="1" max="1" width="66.77734375" customWidth="1"/>
    <col min="2" max="2" width="11.33203125" style="81" hidden="1" customWidth="1"/>
    <col min="3" max="3" width="9" style="81" hidden="1" customWidth="1"/>
    <col min="4" max="4" width="16.109375" style="81" hidden="1" customWidth="1"/>
    <col min="5" max="5" width="10.6640625" style="92" customWidth="1"/>
    <col min="6" max="6" width="11" style="92" bestFit="1" customWidth="1"/>
  </cols>
  <sheetData>
    <row r="2" spans="1:8" ht="13.8" thickBot="1" x14ac:dyDescent="0.3"/>
    <row r="3" spans="1:8" ht="55.8" thickBot="1" x14ac:dyDescent="0.3">
      <c r="A3" s="85" t="s">
        <v>251</v>
      </c>
      <c r="B3" s="85" t="s">
        <v>259</v>
      </c>
      <c r="C3" s="85" t="s">
        <v>260</v>
      </c>
      <c r="D3" s="85" t="s">
        <v>261</v>
      </c>
      <c r="E3" s="89" t="s">
        <v>262</v>
      </c>
      <c r="F3" s="89" t="s">
        <v>263</v>
      </c>
    </row>
    <row r="4" spans="1:8" ht="14.4" thickBot="1" x14ac:dyDescent="0.3">
      <c r="A4" s="86" t="s">
        <v>284</v>
      </c>
      <c r="B4" s="87">
        <v>9.5000000000000001E-2</v>
      </c>
      <c r="C4" s="87">
        <v>0.40899999999999997</v>
      </c>
      <c r="D4" s="87">
        <v>0.10100000000000001</v>
      </c>
      <c r="E4" s="90">
        <v>0.86154699999999995</v>
      </c>
      <c r="F4" s="91">
        <v>0.38893685</v>
      </c>
    </row>
    <row r="5" spans="1:8" ht="14.4" thickBot="1" x14ac:dyDescent="0.3">
      <c r="A5" s="86" t="s">
        <v>285</v>
      </c>
      <c r="B5" s="87">
        <v>4.9000000000000002E-2</v>
      </c>
      <c r="C5" s="87">
        <v>0.61599999999999999</v>
      </c>
      <c r="D5" s="87">
        <v>3.2000000000000001E-2</v>
      </c>
      <c r="E5" s="90">
        <v>0.50454105000000005</v>
      </c>
      <c r="F5" s="90">
        <v>0.61388122000000001</v>
      </c>
      <c r="H5" t="s">
        <v>280</v>
      </c>
    </row>
    <row r="6" spans="1:8" ht="14.4" thickBot="1" x14ac:dyDescent="0.3">
      <c r="A6" s="86" t="s">
        <v>286</v>
      </c>
      <c r="B6" s="87">
        <v>5.5E-2</v>
      </c>
      <c r="C6" s="87">
        <v>0.32600000000000001</v>
      </c>
      <c r="D6" s="87">
        <v>9.1999999999999998E-2</v>
      </c>
      <c r="E6" s="90">
        <v>1.2860862</v>
      </c>
      <c r="F6" s="90">
        <v>0.19841297999999999</v>
      </c>
    </row>
    <row r="7" spans="1:8" ht="14.4" thickBot="1" x14ac:dyDescent="0.3">
      <c r="A7" s="86" t="s">
        <v>287</v>
      </c>
      <c r="B7" s="87">
        <v>7.2999999999999995E-2</v>
      </c>
      <c r="C7" s="87">
        <v>0.48</v>
      </c>
      <c r="D7" s="87">
        <v>3.4000000000000002E-2</v>
      </c>
      <c r="E7" s="90">
        <v>0.29798935999999998</v>
      </c>
      <c r="F7" s="90">
        <v>0.76571127999999999</v>
      </c>
    </row>
    <row r="21" spans="6:8" x14ac:dyDescent="0.25">
      <c r="H21" t="s">
        <v>281</v>
      </c>
    </row>
    <row r="29" spans="6:8" x14ac:dyDescent="0.25">
      <c r="F29" s="92">
        <v>0.50454105000000005</v>
      </c>
      <c r="G29">
        <v>0.61388122000000001</v>
      </c>
    </row>
    <row r="38" spans="5:8" x14ac:dyDescent="0.25">
      <c r="H38" t="s">
        <v>282</v>
      </c>
    </row>
    <row r="47" spans="5:8" x14ac:dyDescent="0.25">
      <c r="E47" s="92">
        <v>1.2860862</v>
      </c>
      <c r="F47" s="92">
        <v>0.19841297999999999</v>
      </c>
    </row>
    <row r="57" spans="5:8" x14ac:dyDescent="0.25">
      <c r="H57" t="s">
        <v>283</v>
      </c>
    </row>
    <row r="64" spans="5:8" x14ac:dyDescent="0.25">
      <c r="E64" s="92">
        <v>0.29798935999999998</v>
      </c>
      <c r="F64" s="92">
        <v>0.76571127999999999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D1C3E-06E9-427D-BE55-7C1A7F0278A7}">
  <dimension ref="C2:F133"/>
  <sheetViews>
    <sheetView workbookViewId="0">
      <selection activeCell="C1" sqref="C1:F1048576"/>
    </sheetView>
  </sheetViews>
  <sheetFormatPr defaultRowHeight="13.2" x14ac:dyDescent="0.25"/>
  <cols>
    <col min="3" max="3" width="11.88671875" bestFit="1" customWidth="1"/>
    <col min="4" max="4" width="6.88671875" bestFit="1" customWidth="1"/>
    <col min="5" max="5" width="10" bestFit="1" customWidth="1"/>
  </cols>
  <sheetData>
    <row r="2" spans="3:6" ht="13.8" thickBot="1" x14ac:dyDescent="0.3">
      <c r="E2" s="37" t="s">
        <v>209</v>
      </c>
      <c r="F2" s="37" t="s">
        <v>210</v>
      </c>
    </row>
    <row r="3" spans="3:6" ht="16.2" thickBot="1" x14ac:dyDescent="0.3">
      <c r="C3" s="33" t="s">
        <v>206</v>
      </c>
      <c r="D3" s="33" t="s">
        <v>7</v>
      </c>
      <c r="E3" s="34" t="s">
        <v>207</v>
      </c>
      <c r="F3" s="33" t="s">
        <v>208</v>
      </c>
    </row>
    <row r="4" spans="3:6" ht="16.2" thickBot="1" x14ac:dyDescent="0.3">
      <c r="C4" s="123" t="s">
        <v>18</v>
      </c>
      <c r="D4" s="35">
        <v>2018</v>
      </c>
      <c r="E4" s="36">
        <v>0.104</v>
      </c>
      <c r="F4" s="36">
        <v>4.8000000000000001E-2</v>
      </c>
    </row>
    <row r="5" spans="3:6" ht="16.2" thickBot="1" x14ac:dyDescent="0.3">
      <c r="C5" s="124"/>
      <c r="D5" s="35">
        <v>2019</v>
      </c>
      <c r="E5" s="36">
        <v>0.21199999999999999</v>
      </c>
      <c r="F5" s="36">
        <v>9.5000000000000001E-2</v>
      </c>
    </row>
    <row r="6" spans="3:6" ht="16.2" thickBot="1" x14ac:dyDescent="0.3">
      <c r="C6" s="124"/>
      <c r="D6" s="35">
        <v>2020</v>
      </c>
      <c r="E6" s="36">
        <v>0.17299999999999999</v>
      </c>
      <c r="F6" s="36">
        <v>0.248</v>
      </c>
    </row>
    <row r="7" spans="3:6" ht="16.2" thickBot="1" x14ac:dyDescent="0.3">
      <c r="C7" s="124"/>
      <c r="D7" s="35">
        <v>2021</v>
      </c>
      <c r="E7" s="36">
        <v>0.23400000000000001</v>
      </c>
      <c r="F7" s="36">
        <v>0.26600000000000001</v>
      </c>
    </row>
    <row r="8" spans="3:6" ht="16.2" thickBot="1" x14ac:dyDescent="0.3">
      <c r="C8" s="125"/>
      <c r="D8" s="35">
        <v>2022</v>
      </c>
      <c r="E8" s="36">
        <v>0.27700000000000002</v>
      </c>
      <c r="F8" s="36">
        <v>0.34399999999999997</v>
      </c>
    </row>
    <row r="9" spans="3:6" ht="16.2" thickBot="1" x14ac:dyDescent="0.3">
      <c r="C9" s="123" t="s">
        <v>39</v>
      </c>
      <c r="D9" s="35">
        <v>2018</v>
      </c>
      <c r="E9" s="36">
        <v>0.105</v>
      </c>
      <c r="F9" s="36">
        <v>4.8000000000000001E-2</v>
      </c>
    </row>
    <row r="10" spans="3:6" ht="16.2" thickBot="1" x14ac:dyDescent="0.3">
      <c r="C10" s="124"/>
      <c r="D10" s="35">
        <v>2019</v>
      </c>
      <c r="E10" s="36">
        <v>0.21299999999999999</v>
      </c>
      <c r="F10" s="36">
        <v>9.4E-2</v>
      </c>
    </row>
    <row r="11" spans="3:6" ht="16.2" thickBot="1" x14ac:dyDescent="0.3">
      <c r="C11" s="124"/>
      <c r="D11" s="35">
        <v>2020</v>
      </c>
      <c r="E11" s="36">
        <v>0.17299999999999999</v>
      </c>
      <c r="F11" s="36">
        <v>0.246</v>
      </c>
    </row>
    <row r="12" spans="3:6" ht="16.2" thickBot="1" x14ac:dyDescent="0.3">
      <c r="C12" s="124"/>
      <c r="D12" s="35">
        <v>2021</v>
      </c>
      <c r="E12" s="36">
        <v>0.23200000000000001</v>
      </c>
      <c r="F12" s="36">
        <v>0.26700000000000002</v>
      </c>
    </row>
    <row r="13" spans="3:6" ht="16.2" thickBot="1" x14ac:dyDescent="0.3">
      <c r="C13" s="125"/>
      <c r="D13" s="35">
        <v>2022</v>
      </c>
      <c r="E13" s="36">
        <v>0.27700000000000002</v>
      </c>
      <c r="F13" s="36">
        <v>0.34300000000000003</v>
      </c>
    </row>
    <row r="14" spans="3:6" ht="16.2" thickBot="1" x14ac:dyDescent="0.3">
      <c r="C14" s="123" t="s">
        <v>60</v>
      </c>
      <c r="D14" s="35">
        <v>2018</v>
      </c>
      <c r="E14" s="36">
        <v>0.10199999999999999</v>
      </c>
      <c r="F14" s="36">
        <v>4.8000000000000001E-2</v>
      </c>
    </row>
    <row r="15" spans="3:6" ht="16.2" thickBot="1" x14ac:dyDescent="0.3">
      <c r="C15" s="124"/>
      <c r="D15" s="35">
        <v>2019</v>
      </c>
      <c r="E15" s="36">
        <v>0.21299999999999999</v>
      </c>
      <c r="F15" s="36">
        <v>9.2999999999999999E-2</v>
      </c>
    </row>
    <row r="16" spans="3:6" ht="16.2" thickBot="1" x14ac:dyDescent="0.3">
      <c r="C16" s="124"/>
      <c r="D16" s="35">
        <v>2020</v>
      </c>
      <c r="E16" s="36">
        <v>0.17299999999999999</v>
      </c>
      <c r="F16" s="36">
        <v>0.248</v>
      </c>
    </row>
    <row r="17" spans="3:6" ht="16.2" thickBot="1" x14ac:dyDescent="0.3">
      <c r="C17" s="124"/>
      <c r="D17" s="35">
        <v>2021</v>
      </c>
      <c r="E17" s="36">
        <v>0.23400000000000001</v>
      </c>
      <c r="F17" s="36">
        <v>0.26700000000000002</v>
      </c>
    </row>
    <row r="18" spans="3:6" ht="16.2" thickBot="1" x14ac:dyDescent="0.3">
      <c r="C18" s="125"/>
      <c r="D18" s="35">
        <v>2022</v>
      </c>
      <c r="E18" s="36">
        <v>0.27700000000000002</v>
      </c>
      <c r="F18" s="36">
        <v>0.34200000000000003</v>
      </c>
    </row>
    <row r="19" spans="3:6" ht="16.2" thickBot="1" x14ac:dyDescent="0.3">
      <c r="C19" s="123" t="s">
        <v>81</v>
      </c>
      <c r="D19" s="35">
        <v>2018</v>
      </c>
      <c r="E19" s="36">
        <v>0.104</v>
      </c>
      <c r="F19" s="36">
        <v>4.8000000000000001E-2</v>
      </c>
    </row>
    <row r="20" spans="3:6" ht="16.2" thickBot="1" x14ac:dyDescent="0.3">
      <c r="C20" s="124"/>
      <c r="D20" s="35">
        <v>2019</v>
      </c>
      <c r="E20" s="36">
        <v>0.214</v>
      </c>
      <c r="F20" s="36">
        <v>9.5000000000000001E-2</v>
      </c>
    </row>
    <row r="21" spans="3:6" ht="16.2" thickBot="1" x14ac:dyDescent="0.3">
      <c r="C21" s="124"/>
      <c r="D21" s="35">
        <v>2020</v>
      </c>
      <c r="E21" s="36">
        <v>0.17299999999999999</v>
      </c>
      <c r="F21" s="36">
        <v>0.247</v>
      </c>
    </row>
    <row r="22" spans="3:6" ht="16.2" thickBot="1" x14ac:dyDescent="0.3">
      <c r="C22" s="124"/>
      <c r="D22" s="35">
        <v>2021</v>
      </c>
      <c r="E22" s="36">
        <v>0.23300000000000001</v>
      </c>
      <c r="F22" s="36">
        <v>0.26700000000000002</v>
      </c>
    </row>
    <row r="23" spans="3:6" ht="16.2" thickBot="1" x14ac:dyDescent="0.3">
      <c r="C23" s="125"/>
      <c r="D23" s="35">
        <v>2022</v>
      </c>
      <c r="E23" s="36">
        <v>0.27700000000000002</v>
      </c>
      <c r="F23" s="36">
        <v>0.34300000000000003</v>
      </c>
    </row>
    <row r="24" spans="3:6" ht="16.2" thickBot="1" x14ac:dyDescent="0.3">
      <c r="C24" s="123" t="s">
        <v>98</v>
      </c>
      <c r="D24" s="35">
        <v>2018</v>
      </c>
      <c r="E24" s="36">
        <v>0.104</v>
      </c>
      <c r="F24" s="36">
        <v>4.7E-2</v>
      </c>
    </row>
    <row r="25" spans="3:6" ht="16.2" thickBot="1" x14ac:dyDescent="0.3">
      <c r="C25" s="124"/>
      <c r="D25" s="35">
        <v>2019</v>
      </c>
      <c r="E25" s="36">
        <v>0.21199999999999999</v>
      </c>
      <c r="F25" s="36">
        <v>9.2999999999999999E-2</v>
      </c>
    </row>
    <row r="26" spans="3:6" ht="16.2" thickBot="1" x14ac:dyDescent="0.3">
      <c r="C26" s="124"/>
      <c r="D26" s="35">
        <v>2020</v>
      </c>
      <c r="E26" s="36">
        <v>0.17299999999999999</v>
      </c>
      <c r="F26" s="36">
        <v>0.248</v>
      </c>
    </row>
    <row r="27" spans="3:6" ht="16.2" thickBot="1" x14ac:dyDescent="0.3">
      <c r="C27" s="124"/>
      <c r="D27" s="35">
        <v>2021</v>
      </c>
      <c r="E27" s="36">
        <v>0.23400000000000001</v>
      </c>
      <c r="F27" s="36">
        <v>0.26700000000000002</v>
      </c>
    </row>
    <row r="28" spans="3:6" ht="16.2" thickBot="1" x14ac:dyDescent="0.3">
      <c r="C28" s="125"/>
      <c r="D28" s="35">
        <v>2022</v>
      </c>
      <c r="E28" s="36">
        <v>0.27700000000000002</v>
      </c>
      <c r="F28" s="36">
        <v>0.34300000000000003</v>
      </c>
    </row>
    <row r="29" spans="3:6" ht="16.2" thickBot="1" x14ac:dyDescent="0.3">
      <c r="C29" s="123" t="s">
        <v>114</v>
      </c>
      <c r="D29" s="35">
        <v>2018</v>
      </c>
      <c r="E29" s="36">
        <v>0.10299999999999999</v>
      </c>
      <c r="F29" s="36">
        <v>4.5999999999999999E-2</v>
      </c>
    </row>
    <row r="30" spans="3:6" ht="16.2" thickBot="1" x14ac:dyDescent="0.3">
      <c r="C30" s="124"/>
      <c r="D30" s="35">
        <v>2019</v>
      </c>
      <c r="E30" s="36">
        <v>0.21299999999999999</v>
      </c>
      <c r="F30" s="36">
        <v>9.7000000000000003E-2</v>
      </c>
    </row>
    <row r="31" spans="3:6" ht="16.2" thickBot="1" x14ac:dyDescent="0.3">
      <c r="C31" s="124"/>
      <c r="D31" s="35">
        <v>2020</v>
      </c>
      <c r="E31" s="36">
        <v>0.17299999999999999</v>
      </c>
      <c r="F31" s="36">
        <v>0.248</v>
      </c>
    </row>
    <row r="32" spans="3:6" ht="16.2" thickBot="1" x14ac:dyDescent="0.3">
      <c r="C32" s="124"/>
      <c r="D32" s="35">
        <v>2021</v>
      </c>
      <c r="E32" s="36">
        <v>0.23200000000000001</v>
      </c>
      <c r="F32" s="36">
        <v>0.26700000000000002</v>
      </c>
    </row>
    <row r="33" spans="3:6" ht="16.2" thickBot="1" x14ac:dyDescent="0.3">
      <c r="C33" s="125"/>
      <c r="D33" s="35">
        <v>2022</v>
      </c>
      <c r="E33" s="36">
        <v>0.27600000000000002</v>
      </c>
      <c r="F33" s="36">
        <v>0.34300000000000003</v>
      </c>
    </row>
    <row r="34" spans="3:6" ht="16.2" thickBot="1" x14ac:dyDescent="0.3">
      <c r="C34" s="123" t="s">
        <v>129</v>
      </c>
      <c r="D34" s="35">
        <v>2018</v>
      </c>
      <c r="E34" s="36">
        <v>0.104</v>
      </c>
      <c r="F34" s="36">
        <v>4.8000000000000001E-2</v>
      </c>
    </row>
    <row r="35" spans="3:6" ht="16.2" thickBot="1" x14ac:dyDescent="0.3">
      <c r="C35" s="124"/>
      <c r="D35" s="35">
        <v>2019</v>
      </c>
      <c r="E35" s="36">
        <v>0.21299999999999999</v>
      </c>
      <c r="F35" s="36">
        <v>9.5000000000000001E-2</v>
      </c>
    </row>
    <row r="36" spans="3:6" ht="16.2" thickBot="1" x14ac:dyDescent="0.3">
      <c r="C36" s="124"/>
      <c r="D36" s="35">
        <v>2020</v>
      </c>
      <c r="E36" s="36">
        <v>0.17299999999999999</v>
      </c>
      <c r="F36" s="36">
        <v>0.248</v>
      </c>
    </row>
    <row r="37" spans="3:6" ht="16.2" thickBot="1" x14ac:dyDescent="0.3">
      <c r="C37" s="124"/>
      <c r="D37" s="35">
        <v>2021</v>
      </c>
      <c r="E37" s="36">
        <v>0.23300000000000001</v>
      </c>
      <c r="F37" s="36">
        <v>0.26700000000000002</v>
      </c>
    </row>
    <row r="38" spans="3:6" ht="16.2" thickBot="1" x14ac:dyDescent="0.3">
      <c r="C38" s="125"/>
      <c r="D38" s="35">
        <v>2022</v>
      </c>
      <c r="E38" s="36">
        <v>0.27700000000000002</v>
      </c>
      <c r="F38" s="36">
        <v>0.34300000000000003</v>
      </c>
    </row>
    <row r="39" spans="3:6" ht="16.2" thickBot="1" x14ac:dyDescent="0.3">
      <c r="C39" s="123" t="s">
        <v>140</v>
      </c>
      <c r="D39" s="35">
        <v>2018</v>
      </c>
      <c r="E39" s="36">
        <v>0.104</v>
      </c>
      <c r="F39" s="36">
        <v>4.8000000000000001E-2</v>
      </c>
    </row>
    <row r="40" spans="3:6" ht="16.2" thickBot="1" x14ac:dyDescent="0.3">
      <c r="C40" s="124"/>
      <c r="D40" s="35">
        <v>2019</v>
      </c>
      <c r="E40" s="36">
        <v>0.21299999999999999</v>
      </c>
      <c r="F40" s="36">
        <v>9.5000000000000001E-2</v>
      </c>
    </row>
    <row r="41" spans="3:6" ht="16.2" thickBot="1" x14ac:dyDescent="0.3">
      <c r="C41" s="124"/>
      <c r="D41" s="35">
        <v>2020</v>
      </c>
      <c r="E41" s="36">
        <v>0.17299999999999999</v>
      </c>
      <c r="F41" s="36">
        <v>0.248</v>
      </c>
    </row>
    <row r="42" spans="3:6" ht="16.2" thickBot="1" x14ac:dyDescent="0.3">
      <c r="C42" s="124"/>
      <c r="D42" s="35">
        <v>2021</v>
      </c>
      <c r="E42" s="36">
        <v>0.23300000000000001</v>
      </c>
      <c r="F42" s="36">
        <v>0.26700000000000002</v>
      </c>
    </row>
    <row r="43" spans="3:6" ht="16.2" thickBot="1" x14ac:dyDescent="0.3">
      <c r="C43" s="125"/>
      <c r="D43" s="35">
        <v>2022</v>
      </c>
      <c r="E43" s="36">
        <v>0.27700000000000002</v>
      </c>
      <c r="F43" s="36">
        <v>0.34300000000000003</v>
      </c>
    </row>
    <row r="44" spans="3:6" ht="16.2" thickBot="1" x14ac:dyDescent="0.3">
      <c r="C44" s="123" t="s">
        <v>150</v>
      </c>
      <c r="D44" s="35">
        <v>2018</v>
      </c>
      <c r="E44" s="36">
        <v>0.104</v>
      </c>
      <c r="F44" s="36">
        <v>4.8000000000000001E-2</v>
      </c>
    </row>
    <row r="45" spans="3:6" ht="16.2" thickBot="1" x14ac:dyDescent="0.3">
      <c r="C45" s="124"/>
      <c r="D45" s="35">
        <v>2019</v>
      </c>
      <c r="E45" s="36">
        <v>0.21299999999999999</v>
      </c>
      <c r="F45" s="36">
        <v>9.5000000000000001E-2</v>
      </c>
    </row>
    <row r="46" spans="3:6" ht="16.2" thickBot="1" x14ac:dyDescent="0.3">
      <c r="C46" s="124"/>
      <c r="D46" s="35">
        <v>2020</v>
      </c>
      <c r="E46" s="36">
        <v>0.17299999999999999</v>
      </c>
      <c r="F46" s="36">
        <v>0.248</v>
      </c>
    </row>
    <row r="47" spans="3:6" ht="16.2" thickBot="1" x14ac:dyDescent="0.3">
      <c r="C47" s="124"/>
      <c r="D47" s="35">
        <v>2021</v>
      </c>
      <c r="E47" s="36">
        <v>0.23300000000000001</v>
      </c>
      <c r="F47" s="36">
        <v>6.7000000000000004E-2</v>
      </c>
    </row>
    <row r="48" spans="3:6" ht="16.2" thickBot="1" x14ac:dyDescent="0.3">
      <c r="C48" s="125"/>
      <c r="D48" s="35">
        <v>2022</v>
      </c>
      <c r="E48" s="36">
        <v>0.27700000000000002</v>
      </c>
      <c r="F48" s="36">
        <v>0.34300000000000003</v>
      </c>
    </row>
    <row r="49" spans="3:6" ht="16.2" thickBot="1" x14ac:dyDescent="0.3">
      <c r="C49" s="123" t="s">
        <v>156</v>
      </c>
      <c r="D49" s="35">
        <v>2018</v>
      </c>
      <c r="E49" s="36">
        <v>0.104</v>
      </c>
      <c r="F49" s="36">
        <v>4.8000000000000001E-2</v>
      </c>
    </row>
    <row r="50" spans="3:6" ht="16.2" thickBot="1" x14ac:dyDescent="0.3">
      <c r="C50" s="124"/>
      <c r="D50" s="35">
        <v>2019</v>
      </c>
      <c r="E50" s="36">
        <v>0.21299999999999999</v>
      </c>
      <c r="F50" s="36">
        <v>9.5000000000000001E-2</v>
      </c>
    </row>
    <row r="51" spans="3:6" ht="16.2" thickBot="1" x14ac:dyDescent="0.3">
      <c r="C51" s="124"/>
      <c r="D51" s="35">
        <v>2020</v>
      </c>
      <c r="E51" s="36">
        <v>0.17299999999999999</v>
      </c>
      <c r="F51" s="36">
        <v>0.248</v>
      </c>
    </row>
    <row r="52" spans="3:6" ht="16.2" thickBot="1" x14ac:dyDescent="0.3">
      <c r="C52" s="124"/>
      <c r="D52" s="35">
        <v>2021</v>
      </c>
      <c r="E52" s="36">
        <v>0.23300000000000001</v>
      </c>
      <c r="F52" s="36">
        <v>0.26700000000000002</v>
      </c>
    </row>
    <row r="53" spans="3:6" ht="16.2" thickBot="1" x14ac:dyDescent="0.3">
      <c r="C53" s="125"/>
      <c r="D53" s="35">
        <v>2022</v>
      </c>
      <c r="E53" s="36">
        <v>0.27700000000000002</v>
      </c>
      <c r="F53" s="36">
        <v>0.34300000000000003</v>
      </c>
    </row>
    <row r="54" spans="3:6" ht="16.2" thickBot="1" x14ac:dyDescent="0.3">
      <c r="C54" s="123" t="s">
        <v>162</v>
      </c>
      <c r="D54" s="35">
        <v>2018</v>
      </c>
      <c r="E54" s="36">
        <v>0.104</v>
      </c>
      <c r="F54" s="36">
        <v>4.8000000000000001E-2</v>
      </c>
    </row>
    <row r="55" spans="3:6" ht="16.2" thickBot="1" x14ac:dyDescent="0.3">
      <c r="C55" s="124"/>
      <c r="D55" s="35">
        <v>2019</v>
      </c>
      <c r="E55" s="36">
        <v>0.21299999999999999</v>
      </c>
      <c r="F55" s="36">
        <v>9.5000000000000001E-2</v>
      </c>
    </row>
    <row r="56" spans="3:6" ht="16.2" thickBot="1" x14ac:dyDescent="0.3">
      <c r="C56" s="124"/>
      <c r="D56" s="35">
        <v>2020</v>
      </c>
      <c r="E56" s="36">
        <v>0.17299999999999999</v>
      </c>
      <c r="F56" s="36">
        <v>0.248</v>
      </c>
    </row>
    <row r="57" spans="3:6" ht="16.2" thickBot="1" x14ac:dyDescent="0.3">
      <c r="C57" s="124"/>
      <c r="D57" s="35">
        <v>2021</v>
      </c>
      <c r="E57" s="36">
        <v>0.23300000000000001</v>
      </c>
      <c r="F57" s="36">
        <v>0.26700000000000002</v>
      </c>
    </row>
    <row r="58" spans="3:6" ht="16.2" thickBot="1" x14ac:dyDescent="0.3">
      <c r="C58" s="125"/>
      <c r="D58" s="35">
        <v>2022</v>
      </c>
      <c r="E58" s="36">
        <v>0.27700000000000002</v>
      </c>
      <c r="F58" s="36">
        <v>0.34300000000000003</v>
      </c>
    </row>
    <row r="59" spans="3:6" ht="16.2" thickBot="1" x14ac:dyDescent="0.3">
      <c r="C59" s="123" t="s">
        <v>168</v>
      </c>
      <c r="D59" s="35">
        <v>2018</v>
      </c>
      <c r="E59" s="36">
        <v>0.104</v>
      </c>
      <c r="F59" s="36">
        <v>4.8000000000000001E-2</v>
      </c>
    </row>
    <row r="60" spans="3:6" ht="16.2" thickBot="1" x14ac:dyDescent="0.3">
      <c r="C60" s="124"/>
      <c r="D60" s="35">
        <v>2019</v>
      </c>
      <c r="E60" s="36">
        <v>0.21299999999999999</v>
      </c>
      <c r="F60" s="36">
        <v>9.5000000000000001E-2</v>
      </c>
    </row>
    <row r="61" spans="3:6" ht="16.2" thickBot="1" x14ac:dyDescent="0.3">
      <c r="C61" s="124"/>
      <c r="D61" s="35">
        <v>2020</v>
      </c>
      <c r="E61" s="36">
        <v>0.17299999999999999</v>
      </c>
      <c r="F61" s="36">
        <v>0.248</v>
      </c>
    </row>
    <row r="62" spans="3:6" ht="16.2" thickBot="1" x14ac:dyDescent="0.3">
      <c r="C62" s="124"/>
      <c r="D62" s="35">
        <v>2021</v>
      </c>
      <c r="E62" s="36">
        <v>0.23300000000000001</v>
      </c>
      <c r="F62" s="36">
        <v>0.26700000000000002</v>
      </c>
    </row>
    <row r="63" spans="3:6" ht="16.2" thickBot="1" x14ac:dyDescent="0.3">
      <c r="C63" s="125"/>
      <c r="D63" s="35">
        <v>2022</v>
      </c>
      <c r="E63" s="36">
        <v>0.27700000000000002</v>
      </c>
      <c r="F63" s="36">
        <v>0.34300000000000003</v>
      </c>
    </row>
    <row r="64" spans="3:6" ht="16.2" thickBot="1" x14ac:dyDescent="0.3">
      <c r="C64" s="123" t="s">
        <v>173</v>
      </c>
      <c r="D64" s="35">
        <v>2018</v>
      </c>
      <c r="E64" s="36">
        <v>0.104</v>
      </c>
      <c r="F64" s="36">
        <v>4.8000000000000001E-2</v>
      </c>
    </row>
    <row r="65" spans="3:6" ht="16.2" thickBot="1" x14ac:dyDescent="0.3">
      <c r="C65" s="124"/>
      <c r="D65" s="35">
        <v>2019</v>
      </c>
      <c r="E65" s="36">
        <v>0.21299999999999999</v>
      </c>
      <c r="F65" s="36">
        <v>9.5000000000000001E-2</v>
      </c>
    </row>
    <row r="66" spans="3:6" ht="16.2" thickBot="1" x14ac:dyDescent="0.3">
      <c r="C66" s="124"/>
      <c r="D66" s="35">
        <v>2020</v>
      </c>
      <c r="E66" s="36">
        <v>0.17299999999999999</v>
      </c>
      <c r="F66" s="36">
        <v>0.248</v>
      </c>
    </row>
    <row r="67" spans="3:6" ht="16.2" thickBot="1" x14ac:dyDescent="0.3">
      <c r="C67" s="124"/>
      <c r="D67" s="35">
        <v>2021</v>
      </c>
      <c r="E67" s="36">
        <v>0.23300000000000001</v>
      </c>
      <c r="F67" s="36">
        <v>0.26700000000000002</v>
      </c>
    </row>
    <row r="68" spans="3:6" ht="16.2" thickBot="1" x14ac:dyDescent="0.3">
      <c r="C68" s="125"/>
      <c r="D68" s="35">
        <v>2022</v>
      </c>
      <c r="E68" s="36">
        <v>0.27700000000000002</v>
      </c>
      <c r="F68" s="36">
        <v>0.34300000000000003</v>
      </c>
    </row>
    <row r="69" spans="3:6" ht="16.2" thickBot="1" x14ac:dyDescent="0.3">
      <c r="C69" s="123" t="s">
        <v>174</v>
      </c>
      <c r="D69" s="35">
        <v>2018</v>
      </c>
      <c r="E69" s="36">
        <v>0.104</v>
      </c>
      <c r="F69" s="36">
        <v>4.8000000000000001E-2</v>
      </c>
    </row>
    <row r="70" spans="3:6" ht="16.2" thickBot="1" x14ac:dyDescent="0.3">
      <c r="C70" s="124"/>
      <c r="D70" s="35">
        <v>2019</v>
      </c>
      <c r="E70" s="36">
        <v>0.21299999999999999</v>
      </c>
      <c r="F70" s="36">
        <v>9.5000000000000001E-2</v>
      </c>
    </row>
    <row r="71" spans="3:6" ht="16.2" thickBot="1" x14ac:dyDescent="0.3">
      <c r="C71" s="124"/>
      <c r="D71" s="35">
        <v>2020</v>
      </c>
      <c r="E71" s="36">
        <v>0.17299999999999999</v>
      </c>
      <c r="F71" s="36">
        <v>0.248</v>
      </c>
    </row>
    <row r="72" spans="3:6" ht="16.2" thickBot="1" x14ac:dyDescent="0.3">
      <c r="C72" s="124"/>
      <c r="D72" s="35">
        <v>2021</v>
      </c>
      <c r="E72" s="36">
        <v>0.23300000000000001</v>
      </c>
      <c r="F72" s="36">
        <v>0.26700000000000002</v>
      </c>
    </row>
    <row r="73" spans="3:6" ht="16.2" thickBot="1" x14ac:dyDescent="0.3">
      <c r="C73" s="125"/>
      <c r="D73" s="35">
        <v>2022</v>
      </c>
      <c r="E73" s="36">
        <v>0.27700000000000002</v>
      </c>
      <c r="F73" s="36">
        <v>0.34300000000000003</v>
      </c>
    </row>
    <row r="74" spans="3:6" ht="16.2" thickBot="1" x14ac:dyDescent="0.3">
      <c r="C74" s="123" t="s">
        <v>175</v>
      </c>
      <c r="D74" s="35">
        <v>2018</v>
      </c>
      <c r="E74" s="36">
        <v>0.104</v>
      </c>
      <c r="F74" s="36">
        <v>4.8000000000000001E-2</v>
      </c>
    </row>
    <row r="75" spans="3:6" ht="16.2" thickBot="1" x14ac:dyDescent="0.3">
      <c r="C75" s="124"/>
      <c r="D75" s="35">
        <v>2019</v>
      </c>
      <c r="E75" s="36">
        <v>0.21299999999999999</v>
      </c>
      <c r="F75" s="36">
        <v>9.5000000000000001E-2</v>
      </c>
    </row>
    <row r="76" spans="3:6" ht="16.2" thickBot="1" x14ac:dyDescent="0.3">
      <c r="C76" s="124"/>
      <c r="D76" s="35">
        <v>2020</v>
      </c>
      <c r="E76" s="36">
        <v>0.17299999999999999</v>
      </c>
      <c r="F76" s="36">
        <v>0.248</v>
      </c>
    </row>
    <row r="77" spans="3:6" ht="16.2" thickBot="1" x14ac:dyDescent="0.3">
      <c r="C77" s="124"/>
      <c r="D77" s="35">
        <v>2021</v>
      </c>
      <c r="E77" s="36">
        <v>0.23300000000000001</v>
      </c>
      <c r="F77" s="36">
        <v>0.26700000000000002</v>
      </c>
    </row>
    <row r="78" spans="3:6" ht="16.2" thickBot="1" x14ac:dyDescent="0.3">
      <c r="C78" s="125"/>
      <c r="D78" s="35">
        <v>2022</v>
      </c>
      <c r="E78" s="36">
        <v>0.27700000000000002</v>
      </c>
      <c r="F78" s="36">
        <v>0.34300000000000003</v>
      </c>
    </row>
    <row r="79" spans="3:6" ht="16.2" thickBot="1" x14ac:dyDescent="0.3">
      <c r="C79" s="123" t="s">
        <v>176</v>
      </c>
      <c r="D79" s="35">
        <v>2018</v>
      </c>
      <c r="E79" s="36">
        <v>0.104</v>
      </c>
      <c r="F79" s="36">
        <v>4.8000000000000001E-2</v>
      </c>
    </row>
    <row r="80" spans="3:6" ht="16.2" thickBot="1" x14ac:dyDescent="0.3">
      <c r="C80" s="124"/>
      <c r="D80" s="35">
        <v>2019</v>
      </c>
      <c r="E80" s="36">
        <v>0.21299999999999999</v>
      </c>
      <c r="F80" s="36">
        <v>9.5000000000000001E-2</v>
      </c>
    </row>
    <row r="81" spans="3:6" ht="16.2" thickBot="1" x14ac:dyDescent="0.3">
      <c r="C81" s="124"/>
      <c r="D81" s="35">
        <v>2020</v>
      </c>
      <c r="E81" s="36">
        <v>0.17299999999999999</v>
      </c>
      <c r="F81" s="36">
        <v>0.248</v>
      </c>
    </row>
    <row r="82" spans="3:6" ht="16.2" thickBot="1" x14ac:dyDescent="0.3">
      <c r="C82" s="124"/>
      <c r="D82" s="35">
        <v>2021</v>
      </c>
      <c r="E82" s="36">
        <v>0.23300000000000001</v>
      </c>
      <c r="F82" s="36">
        <v>0.26700000000000002</v>
      </c>
    </row>
    <row r="83" spans="3:6" ht="16.2" thickBot="1" x14ac:dyDescent="0.3">
      <c r="C83" s="125"/>
      <c r="D83" s="35">
        <v>2022</v>
      </c>
      <c r="E83" s="36">
        <v>0.27700000000000002</v>
      </c>
      <c r="F83" s="36">
        <v>0.34300000000000003</v>
      </c>
    </row>
    <row r="84" spans="3:6" ht="16.2" thickBot="1" x14ac:dyDescent="0.3">
      <c r="C84" s="123" t="s">
        <v>177</v>
      </c>
      <c r="D84" s="35">
        <v>2018</v>
      </c>
      <c r="E84" s="36">
        <v>0.104</v>
      </c>
      <c r="F84" s="36">
        <v>4.8000000000000001E-2</v>
      </c>
    </row>
    <row r="85" spans="3:6" ht="16.2" thickBot="1" x14ac:dyDescent="0.3">
      <c r="C85" s="124"/>
      <c r="D85" s="35">
        <v>2019</v>
      </c>
      <c r="E85" s="36">
        <v>0.21299999999999999</v>
      </c>
      <c r="F85" s="36">
        <v>9.5000000000000001E-2</v>
      </c>
    </row>
    <row r="86" spans="3:6" ht="16.2" thickBot="1" x14ac:dyDescent="0.3">
      <c r="C86" s="124"/>
      <c r="D86" s="35">
        <v>2020</v>
      </c>
      <c r="E86" s="36">
        <v>0.17299999999999999</v>
      </c>
      <c r="F86" s="36">
        <v>0.248</v>
      </c>
    </row>
    <row r="87" spans="3:6" ht="16.2" thickBot="1" x14ac:dyDescent="0.3">
      <c r="C87" s="124"/>
      <c r="D87" s="35">
        <v>2021</v>
      </c>
      <c r="E87" s="36">
        <v>0.23300000000000001</v>
      </c>
      <c r="F87" s="36">
        <v>0.26700000000000002</v>
      </c>
    </row>
    <row r="88" spans="3:6" ht="16.2" thickBot="1" x14ac:dyDescent="0.3">
      <c r="C88" s="125"/>
      <c r="D88" s="35">
        <v>2022</v>
      </c>
      <c r="E88" s="36">
        <v>0.27700000000000002</v>
      </c>
      <c r="F88" s="36">
        <v>0.34300000000000003</v>
      </c>
    </row>
    <row r="89" spans="3:6" ht="16.2" thickBot="1" x14ac:dyDescent="0.3">
      <c r="C89" s="123" t="s">
        <v>178</v>
      </c>
      <c r="D89" s="35">
        <v>2018</v>
      </c>
      <c r="E89" s="36">
        <v>0.104</v>
      </c>
      <c r="F89" s="36">
        <v>4.8000000000000001E-2</v>
      </c>
    </row>
    <row r="90" spans="3:6" ht="16.2" thickBot="1" x14ac:dyDescent="0.3">
      <c r="C90" s="124"/>
      <c r="D90" s="35">
        <v>2019</v>
      </c>
      <c r="E90" s="36">
        <v>0.21299999999999999</v>
      </c>
      <c r="F90" s="36">
        <v>9.5000000000000001E-2</v>
      </c>
    </row>
    <row r="91" spans="3:6" ht="16.2" thickBot="1" x14ac:dyDescent="0.3">
      <c r="C91" s="124"/>
      <c r="D91" s="35">
        <v>2020</v>
      </c>
      <c r="E91" s="36">
        <v>0.17299999999999999</v>
      </c>
      <c r="F91" s="36">
        <v>0.248</v>
      </c>
    </row>
    <row r="92" spans="3:6" ht="16.2" thickBot="1" x14ac:dyDescent="0.3">
      <c r="C92" s="124"/>
      <c r="D92" s="35">
        <v>2021</v>
      </c>
      <c r="E92" s="36">
        <v>0.23300000000000001</v>
      </c>
      <c r="F92" s="36">
        <v>0.26700000000000002</v>
      </c>
    </row>
    <row r="93" spans="3:6" ht="16.2" thickBot="1" x14ac:dyDescent="0.3">
      <c r="C93" s="125"/>
      <c r="D93" s="35">
        <v>2022</v>
      </c>
      <c r="E93" s="36">
        <v>0.27700000000000002</v>
      </c>
      <c r="F93" s="36">
        <v>0.34300000000000003</v>
      </c>
    </row>
    <row r="94" spans="3:6" ht="16.2" thickBot="1" x14ac:dyDescent="0.3">
      <c r="C94" s="123" t="s">
        <v>179</v>
      </c>
      <c r="D94" s="35">
        <v>2018</v>
      </c>
      <c r="E94" s="36">
        <v>0.104</v>
      </c>
      <c r="F94" s="36">
        <v>4.8000000000000001E-2</v>
      </c>
    </row>
    <row r="95" spans="3:6" ht="16.2" thickBot="1" x14ac:dyDescent="0.3">
      <c r="C95" s="124"/>
      <c r="D95" s="35">
        <v>2019</v>
      </c>
      <c r="E95" s="36">
        <v>0.21299999999999999</v>
      </c>
      <c r="F95" s="36">
        <v>9.5000000000000001E-2</v>
      </c>
    </row>
    <row r="96" spans="3:6" ht="16.2" thickBot="1" x14ac:dyDescent="0.3">
      <c r="C96" s="124"/>
      <c r="D96" s="35">
        <v>2020</v>
      </c>
      <c r="E96" s="36">
        <v>0.17299999999999999</v>
      </c>
      <c r="F96" s="36">
        <v>0.248</v>
      </c>
    </row>
    <row r="97" spans="3:6" ht="16.2" thickBot="1" x14ac:dyDescent="0.3">
      <c r="C97" s="124"/>
      <c r="D97" s="35">
        <v>2021</v>
      </c>
      <c r="E97" s="36">
        <v>0.23300000000000001</v>
      </c>
      <c r="F97" s="36">
        <v>0.26700000000000002</v>
      </c>
    </row>
    <row r="98" spans="3:6" ht="16.2" thickBot="1" x14ac:dyDescent="0.3">
      <c r="C98" s="125"/>
      <c r="D98" s="35">
        <v>2022</v>
      </c>
      <c r="E98" s="36">
        <v>0.27700000000000002</v>
      </c>
      <c r="F98" s="36">
        <v>0.34300000000000003</v>
      </c>
    </row>
    <row r="99" spans="3:6" ht="16.2" thickBot="1" x14ac:dyDescent="0.3">
      <c r="C99" s="123" t="s">
        <v>180</v>
      </c>
      <c r="D99" s="35">
        <v>2018</v>
      </c>
      <c r="E99" s="36">
        <v>0.104</v>
      </c>
      <c r="F99" s="36">
        <v>4.8000000000000001E-2</v>
      </c>
    </row>
    <row r="100" spans="3:6" ht="16.2" thickBot="1" x14ac:dyDescent="0.3">
      <c r="C100" s="124"/>
      <c r="D100" s="35">
        <v>2019</v>
      </c>
      <c r="E100" s="36">
        <v>0.21299999999999999</v>
      </c>
      <c r="F100" s="36">
        <v>9.5000000000000001E-2</v>
      </c>
    </row>
    <row r="101" spans="3:6" ht="16.2" thickBot="1" x14ac:dyDescent="0.3">
      <c r="C101" s="124"/>
      <c r="D101" s="35">
        <v>2020</v>
      </c>
      <c r="E101" s="36">
        <v>0.17299999999999999</v>
      </c>
      <c r="F101" s="36">
        <v>0.248</v>
      </c>
    </row>
    <row r="102" spans="3:6" ht="16.2" thickBot="1" x14ac:dyDescent="0.3">
      <c r="C102" s="124"/>
      <c r="D102" s="35">
        <v>2021</v>
      </c>
      <c r="E102" s="36">
        <v>0.23300000000000001</v>
      </c>
      <c r="F102" s="36">
        <v>0.26700000000000002</v>
      </c>
    </row>
    <row r="103" spans="3:6" ht="16.2" thickBot="1" x14ac:dyDescent="0.3">
      <c r="C103" s="125"/>
      <c r="D103" s="35">
        <v>2022</v>
      </c>
      <c r="E103" s="36">
        <v>0.27700000000000002</v>
      </c>
      <c r="F103" s="36">
        <v>0.34300000000000003</v>
      </c>
    </row>
    <row r="104" spans="3:6" ht="16.2" thickBot="1" x14ac:dyDescent="0.3">
      <c r="C104" s="123" t="s">
        <v>181</v>
      </c>
      <c r="D104" s="35">
        <v>2018</v>
      </c>
      <c r="E104" s="36">
        <v>0.104</v>
      </c>
      <c r="F104" s="36">
        <v>4.8000000000000001E-2</v>
      </c>
    </row>
    <row r="105" spans="3:6" ht="16.2" thickBot="1" x14ac:dyDescent="0.3">
      <c r="C105" s="124"/>
      <c r="D105" s="35">
        <v>2019</v>
      </c>
      <c r="E105" s="36">
        <v>0.21299999999999999</v>
      </c>
      <c r="F105" s="36">
        <v>9.5000000000000001E-2</v>
      </c>
    </row>
    <row r="106" spans="3:6" ht="16.2" thickBot="1" x14ac:dyDescent="0.3">
      <c r="C106" s="124"/>
      <c r="D106" s="35">
        <v>2020</v>
      </c>
      <c r="E106" s="36">
        <v>0.17299999999999999</v>
      </c>
      <c r="F106" s="36">
        <v>0.248</v>
      </c>
    </row>
    <row r="107" spans="3:6" ht="16.2" thickBot="1" x14ac:dyDescent="0.3">
      <c r="C107" s="124"/>
      <c r="D107" s="35">
        <v>2021</v>
      </c>
      <c r="E107" s="36">
        <v>0.23300000000000001</v>
      </c>
      <c r="F107" s="36">
        <v>0.26700000000000002</v>
      </c>
    </row>
    <row r="108" spans="3:6" ht="16.2" thickBot="1" x14ac:dyDescent="0.3">
      <c r="C108" s="125"/>
      <c r="D108" s="35">
        <v>2022</v>
      </c>
      <c r="E108" s="36">
        <v>0.27700000000000002</v>
      </c>
      <c r="F108" s="36">
        <v>0.34300000000000003</v>
      </c>
    </row>
    <row r="109" spans="3:6" ht="16.2" thickBot="1" x14ac:dyDescent="0.3">
      <c r="C109" s="123" t="s">
        <v>182</v>
      </c>
      <c r="D109" s="35">
        <v>2018</v>
      </c>
      <c r="E109" s="36">
        <v>0.104</v>
      </c>
      <c r="F109" s="36">
        <v>4.8000000000000001E-2</v>
      </c>
    </row>
    <row r="110" spans="3:6" ht="16.2" thickBot="1" x14ac:dyDescent="0.3">
      <c r="C110" s="124"/>
      <c r="D110" s="35">
        <v>2019</v>
      </c>
      <c r="E110" s="36">
        <v>0.21299999999999999</v>
      </c>
      <c r="F110" s="36">
        <v>9.5000000000000001E-2</v>
      </c>
    </row>
    <row r="111" spans="3:6" ht="16.2" thickBot="1" x14ac:dyDescent="0.3">
      <c r="C111" s="124"/>
      <c r="D111" s="35">
        <v>2020</v>
      </c>
      <c r="E111" s="36">
        <v>0.17299999999999999</v>
      </c>
      <c r="F111" s="36">
        <v>0.248</v>
      </c>
    </row>
    <row r="112" spans="3:6" ht="16.2" thickBot="1" x14ac:dyDescent="0.3">
      <c r="C112" s="124"/>
      <c r="D112" s="35">
        <v>2021</v>
      </c>
      <c r="E112" s="36">
        <v>0.23300000000000001</v>
      </c>
      <c r="F112" s="36">
        <v>0.26700000000000002</v>
      </c>
    </row>
    <row r="113" spans="3:6" ht="16.2" thickBot="1" x14ac:dyDescent="0.3">
      <c r="C113" s="125"/>
      <c r="D113" s="35">
        <v>2022</v>
      </c>
      <c r="E113" s="36">
        <v>0.27700000000000002</v>
      </c>
      <c r="F113" s="36">
        <v>0.34300000000000003</v>
      </c>
    </row>
    <row r="114" spans="3:6" ht="16.2" thickBot="1" x14ac:dyDescent="0.3">
      <c r="C114" s="123" t="s">
        <v>183</v>
      </c>
      <c r="D114" s="35">
        <v>2018</v>
      </c>
      <c r="E114" s="36">
        <v>0.104</v>
      </c>
      <c r="F114" s="36">
        <v>4.8000000000000001E-2</v>
      </c>
    </row>
    <row r="115" spans="3:6" ht="16.2" thickBot="1" x14ac:dyDescent="0.3">
      <c r="C115" s="124"/>
      <c r="D115" s="35">
        <v>2019</v>
      </c>
      <c r="E115" s="36">
        <v>0.21299999999999999</v>
      </c>
      <c r="F115" s="36">
        <v>9.5000000000000001E-2</v>
      </c>
    </row>
    <row r="116" spans="3:6" ht="16.2" thickBot="1" x14ac:dyDescent="0.3">
      <c r="C116" s="124"/>
      <c r="D116" s="35">
        <v>2020</v>
      </c>
      <c r="E116" s="36">
        <v>0.17299999999999999</v>
      </c>
      <c r="F116" s="36">
        <v>0.248</v>
      </c>
    </row>
    <row r="117" spans="3:6" ht="16.2" thickBot="1" x14ac:dyDescent="0.3">
      <c r="C117" s="124"/>
      <c r="D117" s="35">
        <v>2021</v>
      </c>
      <c r="E117" s="36">
        <v>0.23300000000000001</v>
      </c>
      <c r="F117" s="36">
        <v>0.26700000000000002</v>
      </c>
    </row>
    <row r="118" spans="3:6" ht="16.2" thickBot="1" x14ac:dyDescent="0.3">
      <c r="C118" s="125"/>
      <c r="D118" s="35">
        <v>2022</v>
      </c>
      <c r="E118" s="36">
        <v>0.27700000000000002</v>
      </c>
      <c r="F118" s="36">
        <v>0.34300000000000003</v>
      </c>
    </row>
    <row r="119" spans="3:6" ht="16.2" thickBot="1" x14ac:dyDescent="0.3">
      <c r="C119" s="123" t="s">
        <v>184</v>
      </c>
      <c r="D119" s="35">
        <v>2018</v>
      </c>
      <c r="E119" s="36">
        <v>0.104</v>
      </c>
      <c r="F119" s="36">
        <v>4.8000000000000001E-2</v>
      </c>
    </row>
    <row r="120" spans="3:6" ht="16.2" thickBot="1" x14ac:dyDescent="0.3">
      <c r="C120" s="124"/>
      <c r="D120" s="35">
        <v>2019</v>
      </c>
      <c r="E120" s="36">
        <v>0.21299999999999999</v>
      </c>
      <c r="F120" s="36">
        <v>9.5000000000000001E-2</v>
      </c>
    </row>
    <row r="121" spans="3:6" ht="16.2" thickBot="1" x14ac:dyDescent="0.3">
      <c r="C121" s="124"/>
      <c r="D121" s="35">
        <v>2020</v>
      </c>
      <c r="E121" s="36">
        <v>0.17299999999999999</v>
      </c>
      <c r="F121" s="36">
        <v>0.248</v>
      </c>
    </row>
    <row r="122" spans="3:6" ht="16.2" thickBot="1" x14ac:dyDescent="0.3">
      <c r="C122" s="124"/>
      <c r="D122" s="35">
        <v>2021</v>
      </c>
      <c r="E122" s="36">
        <v>0.23300000000000001</v>
      </c>
      <c r="F122" s="36">
        <v>0.26700000000000002</v>
      </c>
    </row>
    <row r="123" spans="3:6" ht="16.2" thickBot="1" x14ac:dyDescent="0.3">
      <c r="C123" s="125"/>
      <c r="D123" s="35">
        <v>2022</v>
      </c>
      <c r="E123" s="36">
        <v>0.27700000000000002</v>
      </c>
      <c r="F123" s="36">
        <v>0.34300000000000003</v>
      </c>
    </row>
    <row r="124" spans="3:6" ht="16.2" thickBot="1" x14ac:dyDescent="0.3">
      <c r="C124" s="123" t="s">
        <v>185</v>
      </c>
      <c r="D124" s="35">
        <v>2018</v>
      </c>
      <c r="E124" s="36">
        <v>0.104</v>
      </c>
      <c r="F124" s="36">
        <v>4.8000000000000001E-2</v>
      </c>
    </row>
    <row r="125" spans="3:6" ht="16.2" thickBot="1" x14ac:dyDescent="0.3">
      <c r="C125" s="124"/>
      <c r="D125" s="35">
        <v>2019</v>
      </c>
      <c r="E125" s="36">
        <v>0.21299999999999999</v>
      </c>
      <c r="F125" s="36">
        <v>9.5000000000000001E-2</v>
      </c>
    </row>
    <row r="126" spans="3:6" ht="16.2" thickBot="1" x14ac:dyDescent="0.3">
      <c r="C126" s="124"/>
      <c r="D126" s="35">
        <v>2020</v>
      </c>
      <c r="E126" s="36">
        <v>0.17299999999999999</v>
      </c>
      <c r="F126" s="36">
        <v>0.248</v>
      </c>
    </row>
    <row r="127" spans="3:6" ht="16.2" thickBot="1" x14ac:dyDescent="0.3">
      <c r="C127" s="124"/>
      <c r="D127" s="35">
        <v>2021</v>
      </c>
      <c r="E127" s="36">
        <v>0.23300000000000001</v>
      </c>
      <c r="F127" s="36">
        <v>0.26700000000000002</v>
      </c>
    </row>
    <row r="128" spans="3:6" ht="16.2" thickBot="1" x14ac:dyDescent="0.3">
      <c r="C128" s="125"/>
      <c r="D128" s="35">
        <v>2022</v>
      </c>
      <c r="E128" s="36">
        <v>0.27700000000000002</v>
      </c>
      <c r="F128" s="36">
        <v>0.34300000000000003</v>
      </c>
    </row>
    <row r="129" spans="3:6" ht="16.2" thickBot="1" x14ac:dyDescent="0.3">
      <c r="C129" s="123" t="s">
        <v>186</v>
      </c>
      <c r="D129" s="35">
        <v>2018</v>
      </c>
      <c r="E129" s="36">
        <v>0.104</v>
      </c>
      <c r="F129" s="36">
        <v>4.8000000000000001E-2</v>
      </c>
    </row>
    <row r="130" spans="3:6" ht="16.2" thickBot="1" x14ac:dyDescent="0.3">
      <c r="C130" s="124"/>
      <c r="D130" s="35">
        <v>2019</v>
      </c>
      <c r="E130" s="36">
        <v>0.21299999999999999</v>
      </c>
      <c r="F130" s="36">
        <v>9.5000000000000001E-2</v>
      </c>
    </row>
    <row r="131" spans="3:6" ht="16.2" thickBot="1" x14ac:dyDescent="0.3">
      <c r="C131" s="124"/>
      <c r="D131" s="35">
        <v>2020</v>
      </c>
      <c r="E131" s="36">
        <v>0.17299999999999999</v>
      </c>
      <c r="F131" s="36">
        <v>0.248</v>
      </c>
    </row>
    <row r="132" spans="3:6" ht="16.2" thickBot="1" x14ac:dyDescent="0.3">
      <c r="C132" s="124"/>
      <c r="D132" s="35">
        <v>2021</v>
      </c>
      <c r="E132" s="36">
        <v>0.23300000000000001</v>
      </c>
      <c r="F132" s="36">
        <v>0.26700000000000002</v>
      </c>
    </row>
    <row r="133" spans="3:6" ht="16.2" thickBot="1" x14ac:dyDescent="0.3">
      <c r="C133" s="125"/>
      <c r="D133" s="35">
        <v>2022</v>
      </c>
      <c r="E133" s="36">
        <v>0.27700000000000002</v>
      </c>
      <c r="F133" s="36">
        <v>0.34300000000000003</v>
      </c>
    </row>
  </sheetData>
  <mergeCells count="26">
    <mergeCell ref="C29:C33"/>
    <mergeCell ref="C4:C8"/>
    <mergeCell ref="C9:C13"/>
    <mergeCell ref="C14:C18"/>
    <mergeCell ref="C19:C23"/>
    <mergeCell ref="C24:C28"/>
    <mergeCell ref="C89:C93"/>
    <mergeCell ref="C34:C38"/>
    <mergeCell ref="C39:C43"/>
    <mergeCell ref="C44:C48"/>
    <mergeCell ref="C49:C53"/>
    <mergeCell ref="C54:C58"/>
    <mergeCell ref="C59:C63"/>
    <mergeCell ref="C64:C68"/>
    <mergeCell ref="C69:C73"/>
    <mergeCell ref="C74:C78"/>
    <mergeCell ref="C79:C83"/>
    <mergeCell ref="C84:C88"/>
    <mergeCell ref="C124:C128"/>
    <mergeCell ref="C129:C133"/>
    <mergeCell ref="C94:C98"/>
    <mergeCell ref="C99:C103"/>
    <mergeCell ref="C104:C108"/>
    <mergeCell ref="C109:C113"/>
    <mergeCell ref="C114:C118"/>
    <mergeCell ref="C119:C1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43EB9-F9D8-4919-BB10-67530DDFB57B}">
  <dimension ref="C2:F133"/>
  <sheetViews>
    <sheetView workbookViewId="0">
      <selection activeCell="J12" sqref="J12"/>
    </sheetView>
  </sheetViews>
  <sheetFormatPr defaultRowHeight="13.2" x14ac:dyDescent="0.25"/>
  <cols>
    <col min="3" max="3" width="11.88671875" bestFit="1" customWidth="1"/>
    <col min="4" max="4" width="6.88671875" bestFit="1" customWidth="1"/>
    <col min="5" max="5" width="10" bestFit="1" customWidth="1"/>
  </cols>
  <sheetData>
    <row r="2" spans="3:6" ht="13.8" thickBot="1" x14ac:dyDescent="0.3">
      <c r="E2" s="37" t="s">
        <v>209</v>
      </c>
      <c r="F2" s="37" t="s">
        <v>210</v>
      </c>
    </row>
    <row r="3" spans="3:6" ht="16.2" thickBot="1" x14ac:dyDescent="0.3">
      <c r="C3" s="33" t="s">
        <v>206</v>
      </c>
      <c r="D3" s="33" t="s">
        <v>7</v>
      </c>
      <c r="E3" s="34" t="s">
        <v>207</v>
      </c>
      <c r="F3" s="33" t="s">
        <v>208</v>
      </c>
    </row>
    <row r="4" spans="3:6" ht="16.2" thickBot="1" x14ac:dyDescent="0.3">
      <c r="C4" s="123" t="s">
        <v>18</v>
      </c>
      <c r="D4" s="35">
        <v>2018</v>
      </c>
      <c r="E4" s="36">
        <v>0.104</v>
      </c>
      <c r="F4" s="36">
        <v>4.8000000000000001E-2</v>
      </c>
    </row>
    <row r="5" spans="3:6" ht="16.2" thickBot="1" x14ac:dyDescent="0.3">
      <c r="C5" s="124"/>
      <c r="D5" s="35">
        <v>2019</v>
      </c>
      <c r="E5" s="36">
        <v>0.21199999999999999</v>
      </c>
      <c r="F5" s="36">
        <v>9.5000000000000001E-2</v>
      </c>
    </row>
    <row r="6" spans="3:6" ht="16.2" thickBot="1" x14ac:dyDescent="0.3">
      <c r="C6" s="124"/>
      <c r="D6" s="35">
        <v>2020</v>
      </c>
      <c r="E6" s="36">
        <v>0.17299999999999999</v>
      </c>
      <c r="F6" s="36">
        <v>0.248</v>
      </c>
    </row>
    <row r="7" spans="3:6" ht="16.2" thickBot="1" x14ac:dyDescent="0.3">
      <c r="C7" s="124"/>
      <c r="D7" s="35">
        <v>2021</v>
      </c>
      <c r="E7" s="36">
        <v>0.23400000000000001</v>
      </c>
      <c r="F7" s="36">
        <v>0.26600000000000001</v>
      </c>
    </row>
    <row r="8" spans="3:6" ht="16.2" thickBot="1" x14ac:dyDescent="0.3">
      <c r="C8" s="125"/>
      <c r="D8" s="35">
        <v>2022</v>
      </c>
      <c r="E8" s="36">
        <v>0.27700000000000002</v>
      </c>
      <c r="F8" s="36">
        <v>0.34399999999999997</v>
      </c>
    </row>
    <row r="9" spans="3:6" ht="16.2" thickBot="1" x14ac:dyDescent="0.3">
      <c r="C9" s="123" t="s">
        <v>39</v>
      </c>
      <c r="D9" s="35">
        <v>2018</v>
      </c>
      <c r="E9" s="36">
        <v>0.105</v>
      </c>
      <c r="F9" s="36">
        <v>4.8000000000000001E-2</v>
      </c>
    </row>
    <row r="10" spans="3:6" ht="16.2" thickBot="1" x14ac:dyDescent="0.3">
      <c r="C10" s="124"/>
      <c r="D10" s="35">
        <v>2019</v>
      </c>
      <c r="E10" s="36">
        <v>0.21299999999999999</v>
      </c>
      <c r="F10" s="36">
        <v>9.4E-2</v>
      </c>
    </row>
    <row r="11" spans="3:6" ht="16.2" thickBot="1" x14ac:dyDescent="0.3">
      <c r="C11" s="124"/>
      <c r="D11" s="35">
        <v>2020</v>
      </c>
      <c r="E11" s="36">
        <v>0.17299999999999999</v>
      </c>
      <c r="F11" s="36">
        <v>0.246</v>
      </c>
    </row>
    <row r="12" spans="3:6" ht="16.2" thickBot="1" x14ac:dyDescent="0.3">
      <c r="C12" s="124"/>
      <c r="D12" s="35">
        <v>2021</v>
      </c>
      <c r="E12" s="36">
        <v>0.23200000000000001</v>
      </c>
      <c r="F12" s="36">
        <v>0.26700000000000002</v>
      </c>
    </row>
    <row r="13" spans="3:6" ht="16.2" thickBot="1" x14ac:dyDescent="0.3">
      <c r="C13" s="125"/>
      <c r="D13" s="35">
        <v>2022</v>
      </c>
      <c r="E13" s="36">
        <v>0.27700000000000002</v>
      </c>
      <c r="F13" s="36">
        <v>0.34300000000000003</v>
      </c>
    </row>
    <row r="14" spans="3:6" ht="16.2" thickBot="1" x14ac:dyDescent="0.3">
      <c r="C14" s="123" t="s">
        <v>60</v>
      </c>
      <c r="D14" s="35">
        <v>2018</v>
      </c>
      <c r="E14" s="36">
        <v>0.10199999999999999</v>
      </c>
      <c r="F14" s="36">
        <v>4.8000000000000001E-2</v>
      </c>
    </row>
    <row r="15" spans="3:6" ht="16.2" thickBot="1" x14ac:dyDescent="0.3">
      <c r="C15" s="124"/>
      <c r="D15" s="35">
        <v>2019</v>
      </c>
      <c r="E15" s="36">
        <v>0.21299999999999999</v>
      </c>
      <c r="F15" s="36">
        <v>9.2999999999999999E-2</v>
      </c>
    </row>
    <row r="16" spans="3:6" ht="16.2" thickBot="1" x14ac:dyDescent="0.3">
      <c r="C16" s="124"/>
      <c r="D16" s="35">
        <v>2020</v>
      </c>
      <c r="E16" s="36">
        <v>0.17299999999999999</v>
      </c>
      <c r="F16" s="36">
        <v>0.248</v>
      </c>
    </row>
    <row r="17" spans="3:6" ht="16.2" thickBot="1" x14ac:dyDescent="0.3">
      <c r="C17" s="124"/>
      <c r="D17" s="35">
        <v>2021</v>
      </c>
      <c r="E17" s="36">
        <v>0.23400000000000001</v>
      </c>
      <c r="F17" s="36">
        <v>0.26700000000000002</v>
      </c>
    </row>
    <row r="18" spans="3:6" ht="16.2" thickBot="1" x14ac:dyDescent="0.3">
      <c r="C18" s="125"/>
      <c r="D18" s="35">
        <v>2022</v>
      </c>
      <c r="E18" s="36">
        <v>0.27700000000000002</v>
      </c>
      <c r="F18" s="36">
        <v>0.34200000000000003</v>
      </c>
    </row>
    <row r="19" spans="3:6" ht="16.2" thickBot="1" x14ac:dyDescent="0.3">
      <c r="C19" s="123" t="s">
        <v>81</v>
      </c>
      <c r="D19" s="35">
        <v>2018</v>
      </c>
      <c r="E19" s="36">
        <v>0.104</v>
      </c>
      <c r="F19" s="36">
        <v>4.8000000000000001E-2</v>
      </c>
    </row>
    <row r="20" spans="3:6" ht="16.2" thickBot="1" x14ac:dyDescent="0.3">
      <c r="C20" s="124"/>
      <c r="D20" s="35">
        <v>2019</v>
      </c>
      <c r="E20" s="36">
        <v>0.214</v>
      </c>
      <c r="F20" s="36">
        <v>9.5000000000000001E-2</v>
      </c>
    </row>
    <row r="21" spans="3:6" ht="16.2" thickBot="1" x14ac:dyDescent="0.3">
      <c r="C21" s="124"/>
      <c r="D21" s="35">
        <v>2020</v>
      </c>
      <c r="E21" s="36">
        <v>0.17299999999999999</v>
      </c>
      <c r="F21" s="36">
        <v>0.247</v>
      </c>
    </row>
    <row r="22" spans="3:6" ht="16.2" thickBot="1" x14ac:dyDescent="0.3">
      <c r="C22" s="124"/>
      <c r="D22" s="35">
        <v>2021</v>
      </c>
      <c r="E22" s="36">
        <v>0.23300000000000001</v>
      </c>
      <c r="F22" s="36">
        <v>0.26700000000000002</v>
      </c>
    </row>
    <row r="23" spans="3:6" ht="16.2" thickBot="1" x14ac:dyDescent="0.3">
      <c r="C23" s="125"/>
      <c r="D23" s="35">
        <v>2022</v>
      </c>
      <c r="E23" s="36">
        <v>0.27700000000000002</v>
      </c>
      <c r="F23" s="36">
        <v>0.34300000000000003</v>
      </c>
    </row>
    <row r="24" spans="3:6" ht="16.2" thickBot="1" x14ac:dyDescent="0.3">
      <c r="C24" s="123" t="s">
        <v>98</v>
      </c>
      <c r="D24" s="35">
        <v>2018</v>
      </c>
      <c r="E24" s="36">
        <v>0.104</v>
      </c>
      <c r="F24" s="36">
        <v>4.7E-2</v>
      </c>
    </row>
    <row r="25" spans="3:6" ht="16.2" thickBot="1" x14ac:dyDescent="0.3">
      <c r="C25" s="124"/>
      <c r="D25" s="35">
        <v>2019</v>
      </c>
      <c r="E25" s="36">
        <v>0.21199999999999999</v>
      </c>
      <c r="F25" s="36">
        <v>9.2999999999999999E-2</v>
      </c>
    </row>
    <row r="26" spans="3:6" ht="16.2" thickBot="1" x14ac:dyDescent="0.3">
      <c r="C26" s="124"/>
      <c r="D26" s="35">
        <v>2020</v>
      </c>
      <c r="E26" s="36">
        <v>0.17299999999999999</v>
      </c>
      <c r="F26" s="36">
        <v>0.248</v>
      </c>
    </row>
    <row r="27" spans="3:6" ht="16.2" thickBot="1" x14ac:dyDescent="0.3">
      <c r="C27" s="124"/>
      <c r="D27" s="35">
        <v>2021</v>
      </c>
      <c r="E27" s="36">
        <v>0.23400000000000001</v>
      </c>
      <c r="F27" s="36">
        <v>0.26700000000000002</v>
      </c>
    </row>
    <row r="28" spans="3:6" ht="16.2" thickBot="1" x14ac:dyDescent="0.3">
      <c r="C28" s="125"/>
      <c r="D28" s="35">
        <v>2022</v>
      </c>
      <c r="E28" s="36">
        <v>0.27700000000000002</v>
      </c>
      <c r="F28" s="36">
        <v>0.34300000000000003</v>
      </c>
    </row>
    <row r="29" spans="3:6" ht="16.2" thickBot="1" x14ac:dyDescent="0.3">
      <c r="C29" s="123" t="s">
        <v>114</v>
      </c>
      <c r="D29" s="35">
        <v>2018</v>
      </c>
      <c r="E29" s="36">
        <v>0.10299999999999999</v>
      </c>
      <c r="F29" s="36">
        <v>4.5999999999999999E-2</v>
      </c>
    </row>
    <row r="30" spans="3:6" ht="16.2" thickBot="1" x14ac:dyDescent="0.3">
      <c r="C30" s="124"/>
      <c r="D30" s="35">
        <v>2019</v>
      </c>
      <c r="E30" s="36">
        <v>0.21299999999999999</v>
      </c>
      <c r="F30" s="36">
        <v>9.7000000000000003E-2</v>
      </c>
    </row>
    <row r="31" spans="3:6" ht="16.2" thickBot="1" x14ac:dyDescent="0.3">
      <c r="C31" s="124"/>
      <c r="D31" s="35">
        <v>2020</v>
      </c>
      <c r="E31" s="36">
        <v>0.17299999999999999</v>
      </c>
      <c r="F31" s="36">
        <v>0.248</v>
      </c>
    </row>
    <row r="32" spans="3:6" ht="16.2" thickBot="1" x14ac:dyDescent="0.3">
      <c r="C32" s="124"/>
      <c r="D32" s="35">
        <v>2021</v>
      </c>
      <c r="E32" s="36">
        <v>0.23200000000000001</v>
      </c>
      <c r="F32" s="36">
        <v>0.26700000000000002</v>
      </c>
    </row>
    <row r="33" spans="3:6" ht="16.2" thickBot="1" x14ac:dyDescent="0.3">
      <c r="C33" s="125"/>
      <c r="D33" s="35">
        <v>2022</v>
      </c>
      <c r="E33" s="36">
        <v>0.27600000000000002</v>
      </c>
      <c r="F33" s="36">
        <v>0.34300000000000003</v>
      </c>
    </row>
    <row r="34" spans="3:6" ht="16.2" thickBot="1" x14ac:dyDescent="0.3">
      <c r="C34" s="123" t="s">
        <v>129</v>
      </c>
      <c r="D34" s="35">
        <v>2018</v>
      </c>
      <c r="E34" s="36">
        <v>0.104</v>
      </c>
      <c r="F34" s="36">
        <v>4.8000000000000001E-2</v>
      </c>
    </row>
    <row r="35" spans="3:6" ht="16.2" thickBot="1" x14ac:dyDescent="0.3">
      <c r="C35" s="124"/>
      <c r="D35" s="35">
        <v>2019</v>
      </c>
      <c r="E35" s="36">
        <v>0.21299999999999999</v>
      </c>
      <c r="F35" s="36">
        <v>9.5000000000000001E-2</v>
      </c>
    </row>
    <row r="36" spans="3:6" ht="16.2" thickBot="1" x14ac:dyDescent="0.3">
      <c r="C36" s="124"/>
      <c r="D36" s="35">
        <v>2020</v>
      </c>
      <c r="E36" s="36">
        <v>0.17299999999999999</v>
      </c>
      <c r="F36" s="36">
        <v>0.248</v>
      </c>
    </row>
    <row r="37" spans="3:6" ht="16.2" thickBot="1" x14ac:dyDescent="0.3">
      <c r="C37" s="124"/>
      <c r="D37" s="35">
        <v>2021</v>
      </c>
      <c r="E37" s="36">
        <v>0.23300000000000001</v>
      </c>
      <c r="F37" s="36">
        <v>0.26700000000000002</v>
      </c>
    </row>
    <row r="38" spans="3:6" ht="16.2" thickBot="1" x14ac:dyDescent="0.3">
      <c r="C38" s="125"/>
      <c r="D38" s="35">
        <v>2022</v>
      </c>
      <c r="E38" s="36">
        <v>0.27700000000000002</v>
      </c>
      <c r="F38" s="36">
        <v>0.34300000000000003</v>
      </c>
    </row>
    <row r="39" spans="3:6" ht="16.2" thickBot="1" x14ac:dyDescent="0.3">
      <c r="C39" s="123" t="s">
        <v>140</v>
      </c>
      <c r="D39" s="35">
        <v>2018</v>
      </c>
      <c r="E39" s="36">
        <v>0.104</v>
      </c>
      <c r="F39" s="36">
        <v>4.8000000000000001E-2</v>
      </c>
    </row>
    <row r="40" spans="3:6" ht="16.2" thickBot="1" x14ac:dyDescent="0.3">
      <c r="C40" s="124"/>
      <c r="D40" s="35">
        <v>2019</v>
      </c>
      <c r="E40" s="36">
        <v>0.21299999999999999</v>
      </c>
      <c r="F40" s="36">
        <v>9.5000000000000001E-2</v>
      </c>
    </row>
    <row r="41" spans="3:6" ht="16.2" thickBot="1" x14ac:dyDescent="0.3">
      <c r="C41" s="124"/>
      <c r="D41" s="35">
        <v>2020</v>
      </c>
      <c r="E41" s="36">
        <v>0.17299999999999999</v>
      </c>
      <c r="F41" s="36">
        <v>0.248</v>
      </c>
    </row>
    <row r="42" spans="3:6" ht="16.2" thickBot="1" x14ac:dyDescent="0.3">
      <c r="C42" s="124"/>
      <c r="D42" s="35">
        <v>2021</v>
      </c>
      <c r="E42" s="36">
        <v>0.23300000000000001</v>
      </c>
      <c r="F42" s="36">
        <v>0.26700000000000002</v>
      </c>
    </row>
    <row r="43" spans="3:6" ht="16.2" thickBot="1" x14ac:dyDescent="0.3">
      <c r="C43" s="125"/>
      <c r="D43" s="35">
        <v>2022</v>
      </c>
      <c r="E43" s="36">
        <v>0.27700000000000002</v>
      </c>
      <c r="F43" s="36">
        <v>0.34300000000000003</v>
      </c>
    </row>
    <row r="44" spans="3:6" ht="16.2" thickBot="1" x14ac:dyDescent="0.3">
      <c r="C44" s="123" t="s">
        <v>150</v>
      </c>
      <c r="D44" s="35">
        <v>2018</v>
      </c>
      <c r="E44" s="36">
        <v>0.104</v>
      </c>
      <c r="F44" s="36">
        <v>4.8000000000000001E-2</v>
      </c>
    </row>
    <row r="45" spans="3:6" ht="16.2" thickBot="1" x14ac:dyDescent="0.3">
      <c r="C45" s="124"/>
      <c r="D45" s="35">
        <v>2019</v>
      </c>
      <c r="E45" s="36">
        <v>0.21299999999999999</v>
      </c>
      <c r="F45" s="36">
        <v>9.5000000000000001E-2</v>
      </c>
    </row>
    <row r="46" spans="3:6" ht="16.2" thickBot="1" x14ac:dyDescent="0.3">
      <c r="C46" s="124"/>
      <c r="D46" s="35">
        <v>2020</v>
      </c>
      <c r="E46" s="36">
        <v>0.17299999999999999</v>
      </c>
      <c r="F46" s="36">
        <v>0.248</v>
      </c>
    </row>
    <row r="47" spans="3:6" ht="16.2" thickBot="1" x14ac:dyDescent="0.3">
      <c r="C47" s="124"/>
      <c r="D47" s="35">
        <v>2021</v>
      </c>
      <c r="E47" s="36">
        <v>0.23300000000000001</v>
      </c>
      <c r="F47" s="36">
        <v>6.7000000000000004E-2</v>
      </c>
    </row>
    <row r="48" spans="3:6" ht="16.2" thickBot="1" x14ac:dyDescent="0.3">
      <c r="C48" s="125"/>
      <c r="D48" s="35">
        <v>2022</v>
      </c>
      <c r="E48" s="36">
        <v>0.27700000000000002</v>
      </c>
      <c r="F48" s="36">
        <v>0.34300000000000003</v>
      </c>
    </row>
    <row r="49" spans="3:6" ht="16.2" thickBot="1" x14ac:dyDescent="0.3">
      <c r="C49" s="123" t="s">
        <v>156</v>
      </c>
      <c r="D49" s="35">
        <v>2018</v>
      </c>
      <c r="E49" s="36">
        <v>0.104</v>
      </c>
      <c r="F49" s="36">
        <v>4.8000000000000001E-2</v>
      </c>
    </row>
    <row r="50" spans="3:6" ht="16.2" thickBot="1" x14ac:dyDescent="0.3">
      <c r="C50" s="124"/>
      <c r="D50" s="35">
        <v>2019</v>
      </c>
      <c r="E50" s="36">
        <v>0.21299999999999999</v>
      </c>
      <c r="F50" s="36">
        <v>9.5000000000000001E-2</v>
      </c>
    </row>
    <row r="51" spans="3:6" ht="16.2" thickBot="1" x14ac:dyDescent="0.3">
      <c r="C51" s="124"/>
      <c r="D51" s="35">
        <v>2020</v>
      </c>
      <c r="E51" s="36">
        <v>0.17299999999999999</v>
      </c>
      <c r="F51" s="36">
        <v>0.248</v>
      </c>
    </row>
    <row r="52" spans="3:6" ht="16.2" thickBot="1" x14ac:dyDescent="0.3">
      <c r="C52" s="124"/>
      <c r="D52" s="35">
        <v>2021</v>
      </c>
      <c r="E52" s="36">
        <v>0.23300000000000001</v>
      </c>
      <c r="F52" s="36">
        <v>0.26700000000000002</v>
      </c>
    </row>
    <row r="53" spans="3:6" ht="16.2" thickBot="1" x14ac:dyDescent="0.3">
      <c r="C53" s="125"/>
      <c r="D53" s="35">
        <v>2022</v>
      </c>
      <c r="E53" s="36">
        <v>0.27700000000000002</v>
      </c>
      <c r="F53" s="36">
        <v>0.34300000000000003</v>
      </c>
    </row>
    <row r="54" spans="3:6" ht="16.2" thickBot="1" x14ac:dyDescent="0.3">
      <c r="C54" s="123" t="s">
        <v>162</v>
      </c>
      <c r="D54" s="35">
        <v>2018</v>
      </c>
      <c r="E54" s="36">
        <v>0.104</v>
      </c>
      <c r="F54" s="36">
        <v>4.8000000000000001E-2</v>
      </c>
    </row>
    <row r="55" spans="3:6" ht="16.2" thickBot="1" x14ac:dyDescent="0.3">
      <c r="C55" s="124"/>
      <c r="D55" s="35">
        <v>2019</v>
      </c>
      <c r="E55" s="36">
        <v>0.21299999999999999</v>
      </c>
      <c r="F55" s="36">
        <v>9.5000000000000001E-2</v>
      </c>
    </row>
    <row r="56" spans="3:6" ht="16.2" thickBot="1" x14ac:dyDescent="0.3">
      <c r="C56" s="124"/>
      <c r="D56" s="35">
        <v>2020</v>
      </c>
      <c r="E56" s="36">
        <v>0.17299999999999999</v>
      </c>
      <c r="F56" s="36">
        <v>0.248</v>
      </c>
    </row>
    <row r="57" spans="3:6" ht="16.2" thickBot="1" x14ac:dyDescent="0.3">
      <c r="C57" s="124"/>
      <c r="D57" s="35">
        <v>2021</v>
      </c>
      <c r="E57" s="36">
        <v>0.23300000000000001</v>
      </c>
      <c r="F57" s="36">
        <v>0.26700000000000002</v>
      </c>
    </row>
    <row r="58" spans="3:6" ht="16.2" thickBot="1" x14ac:dyDescent="0.3">
      <c r="C58" s="125"/>
      <c r="D58" s="35">
        <v>2022</v>
      </c>
      <c r="E58" s="36">
        <v>0.27700000000000002</v>
      </c>
      <c r="F58" s="36">
        <v>0.34300000000000003</v>
      </c>
    </row>
    <row r="59" spans="3:6" ht="16.2" thickBot="1" x14ac:dyDescent="0.3">
      <c r="C59" s="123" t="s">
        <v>168</v>
      </c>
      <c r="D59" s="35">
        <v>2018</v>
      </c>
      <c r="E59" s="36">
        <v>0.104</v>
      </c>
      <c r="F59" s="36">
        <v>4.8000000000000001E-2</v>
      </c>
    </row>
    <row r="60" spans="3:6" ht="16.2" thickBot="1" x14ac:dyDescent="0.3">
      <c r="C60" s="124"/>
      <c r="D60" s="35">
        <v>2019</v>
      </c>
      <c r="E60" s="36">
        <v>0.21299999999999999</v>
      </c>
      <c r="F60" s="36">
        <v>9.5000000000000001E-2</v>
      </c>
    </row>
    <row r="61" spans="3:6" ht="16.2" thickBot="1" x14ac:dyDescent="0.3">
      <c r="C61" s="124"/>
      <c r="D61" s="35">
        <v>2020</v>
      </c>
      <c r="E61" s="36">
        <v>0.17299999999999999</v>
      </c>
      <c r="F61" s="36">
        <v>0.248</v>
      </c>
    </row>
    <row r="62" spans="3:6" ht="16.2" thickBot="1" x14ac:dyDescent="0.3">
      <c r="C62" s="124"/>
      <c r="D62" s="35">
        <v>2021</v>
      </c>
      <c r="E62" s="36">
        <v>0.23300000000000001</v>
      </c>
      <c r="F62" s="36">
        <v>0.26700000000000002</v>
      </c>
    </row>
    <row r="63" spans="3:6" ht="16.2" thickBot="1" x14ac:dyDescent="0.3">
      <c r="C63" s="125"/>
      <c r="D63" s="35">
        <v>2022</v>
      </c>
      <c r="E63" s="36">
        <v>0.27700000000000002</v>
      </c>
      <c r="F63" s="36">
        <v>0.34300000000000003</v>
      </c>
    </row>
    <row r="64" spans="3:6" ht="16.2" thickBot="1" x14ac:dyDescent="0.3">
      <c r="C64" s="123" t="s">
        <v>173</v>
      </c>
      <c r="D64" s="35">
        <v>2018</v>
      </c>
      <c r="E64" s="36">
        <v>0.104</v>
      </c>
      <c r="F64" s="36">
        <v>4.8000000000000001E-2</v>
      </c>
    </row>
    <row r="65" spans="3:6" ht="16.2" thickBot="1" x14ac:dyDescent="0.3">
      <c r="C65" s="124"/>
      <c r="D65" s="35">
        <v>2019</v>
      </c>
      <c r="E65" s="36">
        <v>0.21299999999999999</v>
      </c>
      <c r="F65" s="36">
        <v>9.5000000000000001E-2</v>
      </c>
    </row>
    <row r="66" spans="3:6" ht="16.2" thickBot="1" x14ac:dyDescent="0.3">
      <c r="C66" s="124"/>
      <c r="D66" s="35">
        <v>2020</v>
      </c>
      <c r="E66" s="36">
        <v>0.17299999999999999</v>
      </c>
      <c r="F66" s="36">
        <v>0.248</v>
      </c>
    </row>
    <row r="67" spans="3:6" ht="16.2" thickBot="1" x14ac:dyDescent="0.3">
      <c r="C67" s="124"/>
      <c r="D67" s="35">
        <v>2021</v>
      </c>
      <c r="E67" s="36">
        <v>0.23300000000000001</v>
      </c>
      <c r="F67" s="36">
        <v>0.26700000000000002</v>
      </c>
    </row>
    <row r="68" spans="3:6" ht="16.2" thickBot="1" x14ac:dyDescent="0.3">
      <c r="C68" s="125"/>
      <c r="D68" s="35">
        <v>2022</v>
      </c>
      <c r="E68" s="36">
        <v>0.27700000000000002</v>
      </c>
      <c r="F68" s="36">
        <v>0.34300000000000003</v>
      </c>
    </row>
    <row r="69" spans="3:6" ht="16.2" thickBot="1" x14ac:dyDescent="0.3">
      <c r="C69" s="123" t="s">
        <v>174</v>
      </c>
      <c r="D69" s="35">
        <v>2018</v>
      </c>
      <c r="E69" s="36">
        <v>0.104</v>
      </c>
      <c r="F69" s="36">
        <v>4.8000000000000001E-2</v>
      </c>
    </row>
    <row r="70" spans="3:6" ht="16.2" thickBot="1" x14ac:dyDescent="0.3">
      <c r="C70" s="124"/>
      <c r="D70" s="35">
        <v>2019</v>
      </c>
      <c r="E70" s="36">
        <v>0.21299999999999999</v>
      </c>
      <c r="F70" s="36">
        <v>9.5000000000000001E-2</v>
      </c>
    </row>
    <row r="71" spans="3:6" ht="16.2" thickBot="1" x14ac:dyDescent="0.3">
      <c r="C71" s="124"/>
      <c r="D71" s="35">
        <v>2020</v>
      </c>
      <c r="E71" s="36">
        <v>0.17299999999999999</v>
      </c>
      <c r="F71" s="36">
        <v>0.248</v>
      </c>
    </row>
    <row r="72" spans="3:6" ht="16.2" thickBot="1" x14ac:dyDescent="0.3">
      <c r="C72" s="124"/>
      <c r="D72" s="35">
        <v>2021</v>
      </c>
      <c r="E72" s="36">
        <v>0.23300000000000001</v>
      </c>
      <c r="F72" s="36">
        <v>0.26700000000000002</v>
      </c>
    </row>
    <row r="73" spans="3:6" ht="16.2" thickBot="1" x14ac:dyDescent="0.3">
      <c r="C73" s="125"/>
      <c r="D73" s="35">
        <v>2022</v>
      </c>
      <c r="E73" s="36">
        <v>0.27700000000000002</v>
      </c>
      <c r="F73" s="36">
        <v>0.34300000000000003</v>
      </c>
    </row>
    <row r="74" spans="3:6" ht="16.2" thickBot="1" x14ac:dyDescent="0.3">
      <c r="C74" s="123" t="s">
        <v>175</v>
      </c>
      <c r="D74" s="35">
        <v>2018</v>
      </c>
      <c r="E74" s="36">
        <v>0.104</v>
      </c>
      <c r="F74" s="36">
        <v>4.8000000000000001E-2</v>
      </c>
    </row>
    <row r="75" spans="3:6" ht="16.2" thickBot="1" x14ac:dyDescent="0.3">
      <c r="C75" s="124"/>
      <c r="D75" s="35">
        <v>2019</v>
      </c>
      <c r="E75" s="36">
        <v>0.21299999999999999</v>
      </c>
      <c r="F75" s="36">
        <v>9.5000000000000001E-2</v>
      </c>
    </row>
    <row r="76" spans="3:6" ht="16.2" thickBot="1" x14ac:dyDescent="0.3">
      <c r="C76" s="124"/>
      <c r="D76" s="35">
        <v>2020</v>
      </c>
      <c r="E76" s="36">
        <v>0.17299999999999999</v>
      </c>
      <c r="F76" s="36">
        <v>0.248</v>
      </c>
    </row>
    <row r="77" spans="3:6" ht="16.2" thickBot="1" x14ac:dyDescent="0.3">
      <c r="C77" s="124"/>
      <c r="D77" s="35">
        <v>2021</v>
      </c>
      <c r="E77" s="36">
        <v>0.23300000000000001</v>
      </c>
      <c r="F77" s="36">
        <v>0.26700000000000002</v>
      </c>
    </row>
    <row r="78" spans="3:6" ht="16.2" thickBot="1" x14ac:dyDescent="0.3">
      <c r="C78" s="125"/>
      <c r="D78" s="35">
        <v>2022</v>
      </c>
      <c r="E78" s="36">
        <v>0.27700000000000002</v>
      </c>
      <c r="F78" s="36">
        <v>0.34300000000000003</v>
      </c>
    </row>
    <row r="79" spans="3:6" ht="16.2" thickBot="1" x14ac:dyDescent="0.3">
      <c r="C79" s="123" t="s">
        <v>176</v>
      </c>
      <c r="D79" s="35">
        <v>2018</v>
      </c>
      <c r="E79" s="36">
        <v>0.104</v>
      </c>
      <c r="F79" s="36">
        <v>4.8000000000000001E-2</v>
      </c>
    </row>
    <row r="80" spans="3:6" ht="16.2" thickBot="1" x14ac:dyDescent="0.3">
      <c r="C80" s="124"/>
      <c r="D80" s="35">
        <v>2019</v>
      </c>
      <c r="E80" s="36">
        <v>0.21299999999999999</v>
      </c>
      <c r="F80" s="36">
        <v>9.5000000000000001E-2</v>
      </c>
    </row>
    <row r="81" spans="3:6" ht="16.2" thickBot="1" x14ac:dyDescent="0.3">
      <c r="C81" s="124"/>
      <c r="D81" s="35">
        <v>2020</v>
      </c>
      <c r="E81" s="36">
        <v>0.17299999999999999</v>
      </c>
      <c r="F81" s="36">
        <v>0.248</v>
      </c>
    </row>
    <row r="82" spans="3:6" ht="16.2" thickBot="1" x14ac:dyDescent="0.3">
      <c r="C82" s="124"/>
      <c r="D82" s="35">
        <v>2021</v>
      </c>
      <c r="E82" s="36">
        <v>0.23300000000000001</v>
      </c>
      <c r="F82" s="36">
        <v>0.26700000000000002</v>
      </c>
    </row>
    <row r="83" spans="3:6" ht="16.2" thickBot="1" x14ac:dyDescent="0.3">
      <c r="C83" s="125"/>
      <c r="D83" s="35">
        <v>2022</v>
      </c>
      <c r="E83" s="36">
        <v>0.27700000000000002</v>
      </c>
      <c r="F83" s="36">
        <v>0.34300000000000003</v>
      </c>
    </row>
    <row r="84" spans="3:6" ht="16.2" thickBot="1" x14ac:dyDescent="0.3">
      <c r="C84" s="123" t="s">
        <v>177</v>
      </c>
      <c r="D84" s="35">
        <v>2018</v>
      </c>
      <c r="E84" s="36">
        <v>0.104</v>
      </c>
      <c r="F84" s="36">
        <v>4.8000000000000001E-2</v>
      </c>
    </row>
    <row r="85" spans="3:6" ht="16.2" thickBot="1" x14ac:dyDescent="0.3">
      <c r="C85" s="124"/>
      <c r="D85" s="35">
        <v>2019</v>
      </c>
      <c r="E85" s="36">
        <v>0.21299999999999999</v>
      </c>
      <c r="F85" s="36">
        <v>9.5000000000000001E-2</v>
      </c>
    </row>
    <row r="86" spans="3:6" ht="16.2" thickBot="1" x14ac:dyDescent="0.3">
      <c r="C86" s="124"/>
      <c r="D86" s="35">
        <v>2020</v>
      </c>
      <c r="E86" s="36">
        <v>0.17299999999999999</v>
      </c>
      <c r="F86" s="36">
        <v>0.248</v>
      </c>
    </row>
    <row r="87" spans="3:6" ht="16.2" thickBot="1" x14ac:dyDescent="0.3">
      <c r="C87" s="124"/>
      <c r="D87" s="35">
        <v>2021</v>
      </c>
      <c r="E87" s="36">
        <v>0.23300000000000001</v>
      </c>
      <c r="F87" s="36">
        <v>0.26700000000000002</v>
      </c>
    </row>
    <row r="88" spans="3:6" ht="16.2" thickBot="1" x14ac:dyDescent="0.3">
      <c r="C88" s="125"/>
      <c r="D88" s="35">
        <v>2022</v>
      </c>
      <c r="E88" s="36">
        <v>0.27700000000000002</v>
      </c>
      <c r="F88" s="36">
        <v>0.34300000000000003</v>
      </c>
    </row>
    <row r="89" spans="3:6" ht="16.2" thickBot="1" x14ac:dyDescent="0.3">
      <c r="C89" s="123" t="s">
        <v>178</v>
      </c>
      <c r="D89" s="35">
        <v>2018</v>
      </c>
      <c r="E89" s="36">
        <v>0.104</v>
      </c>
      <c r="F89" s="36">
        <v>4.8000000000000001E-2</v>
      </c>
    </row>
    <row r="90" spans="3:6" ht="16.2" thickBot="1" x14ac:dyDescent="0.3">
      <c r="C90" s="124"/>
      <c r="D90" s="35">
        <v>2019</v>
      </c>
      <c r="E90" s="36">
        <v>0.21299999999999999</v>
      </c>
      <c r="F90" s="36">
        <v>9.5000000000000001E-2</v>
      </c>
    </row>
    <row r="91" spans="3:6" ht="16.2" thickBot="1" x14ac:dyDescent="0.3">
      <c r="C91" s="124"/>
      <c r="D91" s="35">
        <v>2020</v>
      </c>
      <c r="E91" s="36">
        <v>0.17299999999999999</v>
      </c>
      <c r="F91" s="36">
        <v>0.248</v>
      </c>
    </row>
    <row r="92" spans="3:6" ht="16.2" thickBot="1" x14ac:dyDescent="0.3">
      <c r="C92" s="124"/>
      <c r="D92" s="35">
        <v>2021</v>
      </c>
      <c r="E92" s="36">
        <v>0.23300000000000001</v>
      </c>
      <c r="F92" s="36">
        <v>0.26700000000000002</v>
      </c>
    </row>
    <row r="93" spans="3:6" ht="16.2" thickBot="1" x14ac:dyDescent="0.3">
      <c r="C93" s="125"/>
      <c r="D93" s="35">
        <v>2022</v>
      </c>
      <c r="E93" s="36">
        <v>0.27700000000000002</v>
      </c>
      <c r="F93" s="36">
        <v>0.34300000000000003</v>
      </c>
    </row>
    <row r="94" spans="3:6" ht="16.2" thickBot="1" x14ac:dyDescent="0.3">
      <c r="C94" s="123" t="s">
        <v>179</v>
      </c>
      <c r="D94" s="35">
        <v>2018</v>
      </c>
      <c r="E94" s="36">
        <v>0.104</v>
      </c>
      <c r="F94" s="36">
        <v>4.8000000000000001E-2</v>
      </c>
    </row>
    <row r="95" spans="3:6" ht="16.2" thickBot="1" x14ac:dyDescent="0.3">
      <c r="C95" s="124"/>
      <c r="D95" s="35">
        <v>2019</v>
      </c>
      <c r="E95" s="36">
        <v>0.21299999999999999</v>
      </c>
      <c r="F95" s="36">
        <v>9.5000000000000001E-2</v>
      </c>
    </row>
    <row r="96" spans="3:6" ht="16.2" thickBot="1" x14ac:dyDescent="0.3">
      <c r="C96" s="124"/>
      <c r="D96" s="35">
        <v>2020</v>
      </c>
      <c r="E96" s="36">
        <v>0.17299999999999999</v>
      </c>
      <c r="F96" s="36">
        <v>0.248</v>
      </c>
    </row>
    <row r="97" spans="3:6" ht="16.2" thickBot="1" x14ac:dyDescent="0.3">
      <c r="C97" s="124"/>
      <c r="D97" s="35">
        <v>2021</v>
      </c>
      <c r="E97" s="36">
        <v>0.23300000000000001</v>
      </c>
      <c r="F97" s="36">
        <v>0.26700000000000002</v>
      </c>
    </row>
    <row r="98" spans="3:6" ht="16.2" thickBot="1" x14ac:dyDescent="0.3">
      <c r="C98" s="125"/>
      <c r="D98" s="35">
        <v>2022</v>
      </c>
      <c r="E98" s="36">
        <v>0.27700000000000002</v>
      </c>
      <c r="F98" s="36">
        <v>0.34300000000000003</v>
      </c>
    </row>
    <row r="99" spans="3:6" ht="16.2" thickBot="1" x14ac:dyDescent="0.3">
      <c r="C99" s="123" t="s">
        <v>180</v>
      </c>
      <c r="D99" s="35">
        <v>2018</v>
      </c>
      <c r="E99" s="36">
        <v>0.104</v>
      </c>
      <c r="F99" s="36">
        <v>4.8000000000000001E-2</v>
      </c>
    </row>
    <row r="100" spans="3:6" ht="16.2" thickBot="1" x14ac:dyDescent="0.3">
      <c r="C100" s="124"/>
      <c r="D100" s="35">
        <v>2019</v>
      </c>
      <c r="E100" s="36">
        <v>0.21299999999999999</v>
      </c>
      <c r="F100" s="36">
        <v>9.5000000000000001E-2</v>
      </c>
    </row>
    <row r="101" spans="3:6" ht="16.2" thickBot="1" x14ac:dyDescent="0.3">
      <c r="C101" s="124"/>
      <c r="D101" s="35">
        <v>2020</v>
      </c>
      <c r="E101" s="36">
        <v>0.17299999999999999</v>
      </c>
      <c r="F101" s="36">
        <v>0.248</v>
      </c>
    </row>
    <row r="102" spans="3:6" ht="16.2" thickBot="1" x14ac:dyDescent="0.3">
      <c r="C102" s="124"/>
      <c r="D102" s="35">
        <v>2021</v>
      </c>
      <c r="E102" s="36">
        <v>0.23300000000000001</v>
      </c>
      <c r="F102" s="36">
        <v>0.26700000000000002</v>
      </c>
    </row>
    <row r="103" spans="3:6" ht="16.2" thickBot="1" x14ac:dyDescent="0.3">
      <c r="C103" s="125"/>
      <c r="D103" s="35">
        <v>2022</v>
      </c>
      <c r="E103" s="36">
        <v>0.27700000000000002</v>
      </c>
      <c r="F103" s="36">
        <v>0.34300000000000003</v>
      </c>
    </row>
    <row r="104" spans="3:6" ht="16.2" thickBot="1" x14ac:dyDescent="0.3">
      <c r="C104" s="123" t="s">
        <v>181</v>
      </c>
      <c r="D104" s="35">
        <v>2018</v>
      </c>
      <c r="E104" s="36">
        <v>0.104</v>
      </c>
      <c r="F104" s="36">
        <v>4.8000000000000001E-2</v>
      </c>
    </row>
    <row r="105" spans="3:6" ht="16.2" thickBot="1" x14ac:dyDescent="0.3">
      <c r="C105" s="124"/>
      <c r="D105" s="35">
        <v>2019</v>
      </c>
      <c r="E105" s="36">
        <v>0.21299999999999999</v>
      </c>
      <c r="F105" s="36">
        <v>9.5000000000000001E-2</v>
      </c>
    </row>
    <row r="106" spans="3:6" ht="16.2" thickBot="1" x14ac:dyDescent="0.3">
      <c r="C106" s="124"/>
      <c r="D106" s="35">
        <v>2020</v>
      </c>
      <c r="E106" s="36">
        <v>0.17299999999999999</v>
      </c>
      <c r="F106" s="36">
        <v>0.248</v>
      </c>
    </row>
    <row r="107" spans="3:6" ht="16.2" thickBot="1" x14ac:dyDescent="0.3">
      <c r="C107" s="124"/>
      <c r="D107" s="35">
        <v>2021</v>
      </c>
      <c r="E107" s="36">
        <v>0.23300000000000001</v>
      </c>
      <c r="F107" s="36">
        <v>0.26700000000000002</v>
      </c>
    </row>
    <row r="108" spans="3:6" ht="16.2" thickBot="1" x14ac:dyDescent="0.3">
      <c r="C108" s="125"/>
      <c r="D108" s="35">
        <v>2022</v>
      </c>
      <c r="E108" s="36">
        <v>0.27700000000000002</v>
      </c>
      <c r="F108" s="36">
        <v>0.34300000000000003</v>
      </c>
    </row>
    <row r="109" spans="3:6" ht="16.2" thickBot="1" x14ac:dyDescent="0.3">
      <c r="C109" s="123" t="s">
        <v>182</v>
      </c>
      <c r="D109" s="35">
        <v>2018</v>
      </c>
      <c r="E109" s="36">
        <v>0.104</v>
      </c>
      <c r="F109" s="36">
        <v>4.8000000000000001E-2</v>
      </c>
    </row>
    <row r="110" spans="3:6" ht="16.2" thickBot="1" x14ac:dyDescent="0.3">
      <c r="C110" s="124"/>
      <c r="D110" s="35">
        <v>2019</v>
      </c>
      <c r="E110" s="36">
        <v>0.21299999999999999</v>
      </c>
      <c r="F110" s="36">
        <v>9.5000000000000001E-2</v>
      </c>
    </row>
    <row r="111" spans="3:6" ht="16.2" thickBot="1" x14ac:dyDescent="0.3">
      <c r="C111" s="124"/>
      <c r="D111" s="35">
        <v>2020</v>
      </c>
      <c r="E111" s="36">
        <v>0.17299999999999999</v>
      </c>
      <c r="F111" s="36">
        <v>0.248</v>
      </c>
    </row>
    <row r="112" spans="3:6" ht="16.2" thickBot="1" x14ac:dyDescent="0.3">
      <c r="C112" s="124"/>
      <c r="D112" s="35">
        <v>2021</v>
      </c>
      <c r="E112" s="36">
        <v>0.23300000000000001</v>
      </c>
      <c r="F112" s="36">
        <v>0.26700000000000002</v>
      </c>
    </row>
    <row r="113" spans="3:6" ht="16.2" thickBot="1" x14ac:dyDescent="0.3">
      <c r="C113" s="125"/>
      <c r="D113" s="35">
        <v>2022</v>
      </c>
      <c r="E113" s="36">
        <v>0.27700000000000002</v>
      </c>
      <c r="F113" s="36">
        <v>0.34300000000000003</v>
      </c>
    </row>
    <row r="114" spans="3:6" ht="16.2" thickBot="1" x14ac:dyDescent="0.3">
      <c r="C114" s="123" t="s">
        <v>183</v>
      </c>
      <c r="D114" s="35">
        <v>2018</v>
      </c>
      <c r="E114" s="36">
        <v>0.104</v>
      </c>
      <c r="F114" s="36">
        <v>4.8000000000000001E-2</v>
      </c>
    </row>
    <row r="115" spans="3:6" ht="16.2" thickBot="1" x14ac:dyDescent="0.3">
      <c r="C115" s="124"/>
      <c r="D115" s="35">
        <v>2019</v>
      </c>
      <c r="E115" s="36">
        <v>0.21299999999999999</v>
      </c>
      <c r="F115" s="36">
        <v>9.5000000000000001E-2</v>
      </c>
    </row>
    <row r="116" spans="3:6" ht="16.2" thickBot="1" x14ac:dyDescent="0.3">
      <c r="C116" s="124"/>
      <c r="D116" s="35">
        <v>2020</v>
      </c>
      <c r="E116" s="36">
        <v>0.17299999999999999</v>
      </c>
      <c r="F116" s="36">
        <v>0.248</v>
      </c>
    </row>
    <row r="117" spans="3:6" ht="16.2" thickBot="1" x14ac:dyDescent="0.3">
      <c r="C117" s="124"/>
      <c r="D117" s="35">
        <v>2021</v>
      </c>
      <c r="E117" s="36">
        <v>0.23300000000000001</v>
      </c>
      <c r="F117" s="36">
        <v>0.26700000000000002</v>
      </c>
    </row>
    <row r="118" spans="3:6" ht="16.2" thickBot="1" x14ac:dyDescent="0.3">
      <c r="C118" s="125"/>
      <c r="D118" s="35">
        <v>2022</v>
      </c>
      <c r="E118" s="36">
        <v>0.27700000000000002</v>
      </c>
      <c r="F118" s="36">
        <v>0.34300000000000003</v>
      </c>
    </row>
    <row r="119" spans="3:6" ht="16.2" thickBot="1" x14ac:dyDescent="0.3">
      <c r="C119" s="123" t="s">
        <v>184</v>
      </c>
      <c r="D119" s="35">
        <v>2018</v>
      </c>
      <c r="E119" s="36">
        <v>0.104</v>
      </c>
      <c r="F119" s="36">
        <v>4.8000000000000001E-2</v>
      </c>
    </row>
    <row r="120" spans="3:6" ht="16.2" thickBot="1" x14ac:dyDescent="0.3">
      <c r="C120" s="124"/>
      <c r="D120" s="35">
        <v>2019</v>
      </c>
      <c r="E120" s="36">
        <v>0.21299999999999999</v>
      </c>
      <c r="F120" s="36">
        <v>9.5000000000000001E-2</v>
      </c>
    </row>
    <row r="121" spans="3:6" ht="16.2" thickBot="1" x14ac:dyDescent="0.3">
      <c r="C121" s="124"/>
      <c r="D121" s="35">
        <v>2020</v>
      </c>
      <c r="E121" s="36">
        <v>0.17299999999999999</v>
      </c>
      <c r="F121" s="36">
        <v>0.248</v>
      </c>
    </row>
    <row r="122" spans="3:6" ht="16.2" thickBot="1" x14ac:dyDescent="0.3">
      <c r="C122" s="124"/>
      <c r="D122" s="35">
        <v>2021</v>
      </c>
      <c r="E122" s="36">
        <v>0.23300000000000001</v>
      </c>
      <c r="F122" s="36">
        <v>0.26700000000000002</v>
      </c>
    </row>
    <row r="123" spans="3:6" ht="16.2" thickBot="1" x14ac:dyDescent="0.3">
      <c r="C123" s="125"/>
      <c r="D123" s="35">
        <v>2022</v>
      </c>
      <c r="E123" s="36">
        <v>0.27700000000000002</v>
      </c>
      <c r="F123" s="36">
        <v>0.34300000000000003</v>
      </c>
    </row>
    <row r="124" spans="3:6" ht="16.2" thickBot="1" x14ac:dyDescent="0.3">
      <c r="C124" s="123" t="s">
        <v>185</v>
      </c>
      <c r="D124" s="35">
        <v>2018</v>
      </c>
      <c r="E124" s="36">
        <v>0.104</v>
      </c>
      <c r="F124" s="36">
        <v>4.8000000000000001E-2</v>
      </c>
    </row>
    <row r="125" spans="3:6" ht="16.2" thickBot="1" x14ac:dyDescent="0.3">
      <c r="C125" s="124"/>
      <c r="D125" s="35">
        <v>2019</v>
      </c>
      <c r="E125" s="36">
        <v>0.21299999999999999</v>
      </c>
      <c r="F125" s="36">
        <v>9.5000000000000001E-2</v>
      </c>
    </row>
    <row r="126" spans="3:6" ht="16.2" thickBot="1" x14ac:dyDescent="0.3">
      <c r="C126" s="124"/>
      <c r="D126" s="35">
        <v>2020</v>
      </c>
      <c r="E126" s="36">
        <v>0.17299999999999999</v>
      </c>
      <c r="F126" s="36">
        <v>0.248</v>
      </c>
    </row>
    <row r="127" spans="3:6" ht="16.2" thickBot="1" x14ac:dyDescent="0.3">
      <c r="C127" s="124"/>
      <c r="D127" s="35">
        <v>2021</v>
      </c>
      <c r="E127" s="36">
        <v>0.23300000000000001</v>
      </c>
      <c r="F127" s="36">
        <v>0.26700000000000002</v>
      </c>
    </row>
    <row r="128" spans="3:6" ht="16.2" thickBot="1" x14ac:dyDescent="0.3">
      <c r="C128" s="125"/>
      <c r="D128" s="35">
        <v>2022</v>
      </c>
      <c r="E128" s="36">
        <v>0.27700000000000002</v>
      </c>
      <c r="F128" s="36">
        <v>0.34300000000000003</v>
      </c>
    </row>
    <row r="129" spans="3:6" ht="16.2" thickBot="1" x14ac:dyDescent="0.3">
      <c r="C129" s="123" t="s">
        <v>186</v>
      </c>
      <c r="D129" s="35">
        <v>2018</v>
      </c>
      <c r="E129" s="36">
        <v>0.104</v>
      </c>
      <c r="F129" s="36">
        <v>4.8000000000000001E-2</v>
      </c>
    </row>
    <row r="130" spans="3:6" ht="16.2" thickBot="1" x14ac:dyDescent="0.3">
      <c r="C130" s="124"/>
      <c r="D130" s="35">
        <v>2019</v>
      </c>
      <c r="E130" s="36">
        <v>0.21299999999999999</v>
      </c>
      <c r="F130" s="36">
        <v>9.5000000000000001E-2</v>
      </c>
    </row>
    <row r="131" spans="3:6" ht="16.2" thickBot="1" x14ac:dyDescent="0.3">
      <c r="C131" s="124"/>
      <c r="D131" s="35">
        <v>2020</v>
      </c>
      <c r="E131" s="36">
        <v>0.17299999999999999</v>
      </c>
      <c r="F131" s="36">
        <v>0.248</v>
      </c>
    </row>
    <row r="132" spans="3:6" ht="16.2" thickBot="1" x14ac:dyDescent="0.3">
      <c r="C132" s="124"/>
      <c r="D132" s="35">
        <v>2021</v>
      </c>
      <c r="E132" s="36">
        <v>0.23300000000000001</v>
      </c>
      <c r="F132" s="36">
        <v>0.26700000000000002</v>
      </c>
    </row>
    <row r="133" spans="3:6" ht="16.2" thickBot="1" x14ac:dyDescent="0.3">
      <c r="C133" s="125"/>
      <c r="D133" s="35">
        <v>2022</v>
      </c>
      <c r="E133" s="36">
        <v>0.27700000000000002</v>
      </c>
      <c r="F133" s="36">
        <v>0.34300000000000003</v>
      </c>
    </row>
  </sheetData>
  <mergeCells count="26">
    <mergeCell ref="C29:C33"/>
    <mergeCell ref="C4:C8"/>
    <mergeCell ref="C9:C13"/>
    <mergeCell ref="C14:C18"/>
    <mergeCell ref="C19:C23"/>
    <mergeCell ref="C24:C28"/>
    <mergeCell ref="C89:C93"/>
    <mergeCell ref="C34:C38"/>
    <mergeCell ref="C39:C43"/>
    <mergeCell ref="C44:C48"/>
    <mergeCell ref="C49:C53"/>
    <mergeCell ref="C54:C58"/>
    <mergeCell ref="C59:C63"/>
    <mergeCell ref="C64:C68"/>
    <mergeCell ref="C69:C73"/>
    <mergeCell ref="C74:C78"/>
    <mergeCell ref="C79:C83"/>
    <mergeCell ref="C84:C88"/>
    <mergeCell ref="C124:C128"/>
    <mergeCell ref="C129:C133"/>
    <mergeCell ref="C94:C98"/>
    <mergeCell ref="C99:C103"/>
    <mergeCell ref="C104:C108"/>
    <mergeCell ref="C109:C113"/>
    <mergeCell ref="C114:C118"/>
    <mergeCell ref="C119:C1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25"/>
  <sheetViews>
    <sheetView workbookViewId="0">
      <selection activeCell="G20" sqref="G20"/>
    </sheetView>
  </sheetViews>
  <sheetFormatPr defaultColWidth="12.6640625" defaultRowHeight="15.75" customHeight="1" x14ac:dyDescent="0.25"/>
  <cols>
    <col min="4" max="4" width="21" customWidth="1"/>
  </cols>
  <sheetData>
    <row r="1" spans="1:5" ht="13.2" x14ac:dyDescent="0.25">
      <c r="A1" s="1"/>
      <c r="D1" s="2"/>
    </row>
    <row r="2" spans="1:5" ht="13.2" x14ac:dyDescent="0.25">
      <c r="D2" s="2"/>
    </row>
    <row r="3" spans="1:5" ht="13.8" thickBot="1" x14ac:dyDescent="0.3">
      <c r="D3" s="2"/>
    </row>
    <row r="4" spans="1:5" ht="14.4" thickBot="1" x14ac:dyDescent="0.3">
      <c r="B4" s="42" t="s">
        <v>6</v>
      </c>
      <c r="C4" s="42" t="s">
        <v>7</v>
      </c>
      <c r="D4" s="42" t="s">
        <v>197</v>
      </c>
      <c r="E4" s="54" t="s">
        <v>222</v>
      </c>
    </row>
    <row r="5" spans="1:5" ht="14.4" thickBot="1" x14ac:dyDescent="0.3">
      <c r="B5" s="115" t="s">
        <v>18</v>
      </c>
      <c r="C5" s="43">
        <v>2018</v>
      </c>
      <c r="D5" s="52">
        <f>'ROA X3'!F4</f>
        <v>12398425381188</v>
      </c>
      <c r="E5" s="66">
        <f>LN(D5:D9)</f>
        <v>30.148590595088148</v>
      </c>
    </row>
    <row r="6" spans="1:5" ht="14.4" thickBot="1" x14ac:dyDescent="0.3">
      <c r="B6" s="116"/>
      <c r="C6" s="43">
        <v>2019</v>
      </c>
      <c r="D6" s="52">
        <f>'ROA X3'!F5</f>
        <v>11933575847050</v>
      </c>
      <c r="E6" s="66">
        <f>LN(D6:D11)</f>
        <v>30.110377042839087</v>
      </c>
    </row>
    <row r="7" spans="1:5" ht="14.4" thickBot="1" x14ac:dyDescent="0.3">
      <c r="B7" s="116"/>
      <c r="C7" s="43">
        <v>2020</v>
      </c>
      <c r="D7" s="52">
        <f>'ROA X3'!F6</f>
        <v>11726087012325</v>
      </c>
      <c r="E7" s="66">
        <f>LN(D7:D12)</f>
        <v>30.092837134903981</v>
      </c>
    </row>
    <row r="8" spans="1:5" ht="14.4" thickBot="1" x14ac:dyDescent="0.3">
      <c r="B8" s="116"/>
      <c r="C8" s="43">
        <v>2021</v>
      </c>
      <c r="D8" s="52">
        <f>'ROA X3'!F7</f>
        <v>14866337640060</v>
      </c>
      <c r="E8" s="66">
        <f>LN(D8:D13)</f>
        <v>30.330120554207014</v>
      </c>
    </row>
    <row r="9" spans="1:5" ht="14.4" thickBot="1" x14ac:dyDescent="0.3">
      <c r="B9" s="116"/>
      <c r="C9" s="43">
        <v>2022</v>
      </c>
      <c r="D9" s="52">
        <f>'ROA X3'!F8</f>
        <v>31342584518276</v>
      </c>
      <c r="E9" s="66">
        <f>LN(D9:D14)</f>
        <v>31.075998816535844</v>
      </c>
    </row>
    <row r="10" spans="1:5" ht="14.4" thickBot="1" x14ac:dyDescent="0.3">
      <c r="B10" s="45"/>
      <c r="C10" s="42" t="s">
        <v>219</v>
      </c>
      <c r="D10" s="50">
        <f>SUM(D5:D9)/5</f>
        <v>16453402079779.801</v>
      </c>
      <c r="E10" s="67">
        <f>SUM(E5:E9)/5</f>
        <v>30.351584828714817</v>
      </c>
    </row>
    <row r="11" spans="1:5" ht="14.4" thickBot="1" x14ac:dyDescent="0.3">
      <c r="B11" s="115" t="s">
        <v>39</v>
      </c>
      <c r="C11" s="43">
        <v>2018</v>
      </c>
      <c r="D11" s="52">
        <f>'ROA X3'!F10</f>
        <v>19940850599000</v>
      </c>
      <c r="E11" s="66">
        <f t="shared" ref="E11:E77" si="0">LN(D11:D15)</f>
        <v>30.623791537476187</v>
      </c>
    </row>
    <row r="12" spans="1:5" ht="14.4" thickBot="1" x14ac:dyDescent="0.3">
      <c r="B12" s="116"/>
      <c r="C12" s="43">
        <v>2019</v>
      </c>
      <c r="D12" s="52">
        <f>'ROA X3'!F11</f>
        <v>21409046173000</v>
      </c>
      <c r="E12" s="66">
        <f>LN(D12:D17)</f>
        <v>30.694834667000602</v>
      </c>
    </row>
    <row r="13" spans="1:5" ht="14.4" thickBot="1" x14ac:dyDescent="0.3">
      <c r="B13" s="116"/>
      <c r="C13" s="43">
        <v>2020</v>
      </c>
      <c r="D13" s="52">
        <f>'ROA X3'!F12</f>
        <v>18683572815000</v>
      </c>
      <c r="E13" s="66">
        <f>LN(D13:D18)</f>
        <v>30.558665794626879</v>
      </c>
    </row>
    <row r="14" spans="1:5" ht="14.4" thickBot="1" x14ac:dyDescent="0.3">
      <c r="B14" s="116"/>
      <c r="C14" s="43">
        <v>2021</v>
      </c>
      <c r="D14" s="52">
        <f>'ROA X3'!F13</f>
        <v>23508585736000</v>
      </c>
      <c r="E14" s="66">
        <f>LN(D14:D19)</f>
        <v>30.788386820822517</v>
      </c>
    </row>
    <row r="15" spans="1:5" ht="14.4" thickBot="1" x14ac:dyDescent="0.3">
      <c r="B15" s="116"/>
      <c r="C15" s="43">
        <v>2022</v>
      </c>
      <c r="D15" s="52">
        <f>'ROA X3'!F14</f>
        <v>27187608036000</v>
      </c>
      <c r="E15" s="66">
        <f>LN(D15:D20)</f>
        <v>30.933782398507486</v>
      </c>
    </row>
    <row r="16" spans="1:5" ht="14.4" thickBot="1" x14ac:dyDescent="0.3">
      <c r="B16" s="45"/>
      <c r="C16" s="42" t="s">
        <v>219</v>
      </c>
      <c r="D16" s="50">
        <f>SUM(D11:D15)/5</f>
        <v>22145932671800</v>
      </c>
      <c r="E16" s="67">
        <f>SUM(E11:E15)/5</f>
        <v>30.719892243686729</v>
      </c>
    </row>
    <row r="17" spans="2:5" ht="14.4" thickBot="1" x14ac:dyDescent="0.3">
      <c r="B17" s="115" t="s">
        <v>60</v>
      </c>
      <c r="C17" s="43">
        <v>2018</v>
      </c>
      <c r="D17" s="52">
        <f>'ROA X3'!F16</f>
        <v>56855281134267</v>
      </c>
      <c r="E17" s="66">
        <f t="shared" si="0"/>
        <v>31.671530227751905</v>
      </c>
    </row>
    <row r="18" spans="2:5" ht="14.4" thickBot="1" x14ac:dyDescent="0.3">
      <c r="B18" s="116"/>
      <c r="C18" s="43">
        <v>2019</v>
      </c>
      <c r="D18" s="52">
        <f>'ROA X3'!F17</f>
        <v>51728196718660</v>
      </c>
      <c r="E18" s="66">
        <f>LN(D18:D23)</f>
        <v>31.577024139847868</v>
      </c>
    </row>
    <row r="19" spans="2:5" ht="14.4" thickBot="1" x14ac:dyDescent="0.3">
      <c r="B19" s="116"/>
      <c r="C19" s="43">
        <v>2020</v>
      </c>
      <c r="D19" s="52">
        <f>'ROA X3'!F18</f>
        <v>48599700885225</v>
      </c>
      <c r="E19" s="66">
        <f>LN(D19:D24)</f>
        <v>31.514638492191057</v>
      </c>
    </row>
    <row r="20" spans="2:5" ht="14.4" thickBot="1" x14ac:dyDescent="0.3">
      <c r="B20" s="116"/>
      <c r="C20" s="43">
        <v>2021</v>
      </c>
      <c r="D20" s="52">
        <f>'ROA X3'!F19</f>
        <v>60569109681240</v>
      </c>
      <c r="E20" s="66">
        <f>LN(D20:D25)</f>
        <v>31.734806137807926</v>
      </c>
    </row>
    <row r="21" spans="2:5" ht="14.4" thickBot="1" x14ac:dyDescent="0.3">
      <c r="B21" s="116"/>
      <c r="C21" s="43">
        <v>2022</v>
      </c>
      <c r="D21" s="52">
        <f>'ROA X3'!F20</f>
        <v>70951534532921</v>
      </c>
      <c r="E21" s="66">
        <f>LN(D21:D26)</f>
        <v>31.89301814767169</v>
      </c>
    </row>
    <row r="22" spans="2:5" ht="14.4" thickBot="1" x14ac:dyDescent="0.3">
      <c r="B22" s="45"/>
      <c r="C22" s="42" t="s">
        <v>219</v>
      </c>
      <c r="D22" s="50">
        <f>SUM(D17:D21)/5</f>
        <v>57740764590462.602</v>
      </c>
      <c r="E22" s="67">
        <f>SUM(E17:E21)/5</f>
        <v>31.678203429054086</v>
      </c>
    </row>
    <row r="23" spans="2:5" ht="14.4" thickBot="1" x14ac:dyDescent="0.3">
      <c r="B23" s="115" t="s">
        <v>81</v>
      </c>
      <c r="C23" s="43">
        <v>2018</v>
      </c>
      <c r="D23" s="52">
        <f>'ROA X3'!F22</f>
        <v>5657327000000</v>
      </c>
      <c r="E23" s="66">
        <f t="shared" si="0"/>
        <v>29.363972635108965</v>
      </c>
    </row>
    <row r="24" spans="2:5" ht="14.4" thickBot="1" x14ac:dyDescent="0.3">
      <c r="B24" s="116"/>
      <c r="C24" s="43">
        <v>2019</v>
      </c>
      <c r="D24" s="52">
        <f>'ROA X3'!F23</f>
        <v>6805037000000</v>
      </c>
      <c r="E24" s="66">
        <f>LN(D24:D29)</f>
        <v>29.54868418919574</v>
      </c>
    </row>
    <row r="25" spans="2:5" ht="14.4" thickBot="1" x14ac:dyDescent="0.3">
      <c r="B25" s="116"/>
      <c r="C25" s="43">
        <v>2020</v>
      </c>
      <c r="D25" s="52">
        <f>'ROA X3'!F24</f>
        <v>7562822000000</v>
      </c>
      <c r="E25" s="66">
        <f>LN(D25:D30)</f>
        <v>29.654265516891467</v>
      </c>
    </row>
    <row r="26" spans="2:5" ht="14.4" thickBot="1" x14ac:dyDescent="0.3">
      <c r="B26" s="116"/>
      <c r="C26" s="43">
        <v>2021</v>
      </c>
      <c r="D26" s="52">
        <f>'ROA X3'!F25</f>
        <v>7234857000000</v>
      </c>
      <c r="E26" s="66">
        <f>LN(D26:D31)</f>
        <v>29.609931710785567</v>
      </c>
    </row>
    <row r="27" spans="2:5" ht="14.4" thickBot="1" x14ac:dyDescent="0.3">
      <c r="B27" s="116"/>
      <c r="C27" s="43">
        <v>2022</v>
      </c>
      <c r="D27" s="52">
        <f>'ROA X3'!F26</f>
        <v>8836089000000</v>
      </c>
      <c r="E27" s="66">
        <f>LN(D27:D32)</f>
        <v>29.809865473866658</v>
      </c>
    </row>
    <row r="28" spans="2:5" ht="14.4" thickBot="1" x14ac:dyDescent="0.3">
      <c r="B28" s="45"/>
      <c r="C28" s="42" t="s">
        <v>219</v>
      </c>
      <c r="D28" s="50">
        <f>SUM(D23:D27)/5</f>
        <v>7219226400000</v>
      </c>
      <c r="E28" s="67">
        <f>SUM(E23:E27)/5</f>
        <v>29.59734390516968</v>
      </c>
    </row>
    <row r="29" spans="2:5" ht="14.4" thickBot="1" x14ac:dyDescent="0.3">
      <c r="B29" s="115" t="s">
        <v>98</v>
      </c>
      <c r="C29" s="43">
        <v>2018</v>
      </c>
      <c r="D29" s="52">
        <f>'ROA X3'!F28</f>
        <v>7564927056000</v>
      </c>
      <c r="E29" s="66">
        <f t="shared" si="0"/>
        <v>29.654543820822315</v>
      </c>
    </row>
    <row r="30" spans="2:5" ht="14.4" thickBot="1" x14ac:dyDescent="0.3">
      <c r="B30" s="116"/>
      <c r="C30" s="43">
        <v>2019</v>
      </c>
      <c r="D30" s="52">
        <f>'ROA X3'!F29</f>
        <v>7698084680000</v>
      </c>
      <c r="E30" s="66">
        <f>LN(D30:D35)</f>
        <v>29.671992670989408</v>
      </c>
    </row>
    <row r="31" spans="2:5" ht="14.4" thickBot="1" x14ac:dyDescent="0.3">
      <c r="B31" s="116"/>
      <c r="C31" s="43">
        <v>2020</v>
      </c>
      <c r="D31" s="52">
        <f>'ROA X3'!F30</f>
        <v>7508327400000</v>
      </c>
      <c r="E31" s="66">
        <f>LN(D31:D36)</f>
        <v>29.647033840521452</v>
      </c>
    </row>
    <row r="32" spans="2:5" ht="14.4" thickBot="1" x14ac:dyDescent="0.3">
      <c r="B32" s="116"/>
      <c r="C32" s="43">
        <v>2021</v>
      </c>
      <c r="D32" s="52">
        <f>'ROA X3'!F31</f>
        <v>7639434240000</v>
      </c>
      <c r="E32" s="66">
        <f>LN(D32:D37)</f>
        <v>29.664344664008944</v>
      </c>
    </row>
    <row r="33" spans="2:5" ht="14.4" thickBot="1" x14ac:dyDescent="0.3">
      <c r="B33" s="116"/>
      <c r="C33" s="43">
        <v>2022</v>
      </c>
      <c r="D33" s="52">
        <f>'ROA X3'!F32</f>
        <v>9428803780000</v>
      </c>
      <c r="E33" s="66">
        <f>LN(D33:D38)</f>
        <v>29.874790351929352</v>
      </c>
    </row>
    <row r="34" spans="2:5" ht="14.4" thickBot="1" x14ac:dyDescent="0.3">
      <c r="B34" s="45"/>
      <c r="C34" s="42" t="s">
        <v>219</v>
      </c>
      <c r="D34" s="50">
        <f>SUM(D29:D33)/5</f>
        <v>7967915431200</v>
      </c>
      <c r="E34" s="67">
        <f>SUM(E29:E33)/5</f>
        <v>29.702541069654295</v>
      </c>
    </row>
    <row r="35" spans="2:5" ht="14.4" thickBot="1" x14ac:dyDescent="0.3">
      <c r="B35" s="115" t="s">
        <v>114</v>
      </c>
      <c r="C35" s="43">
        <v>2018</v>
      </c>
      <c r="D35" s="52">
        <f>'ROA X3'!F34</f>
        <v>19644184448000</v>
      </c>
      <c r="E35" s="66">
        <f t="shared" si="0"/>
        <v>30.608802453595164</v>
      </c>
    </row>
    <row r="36" spans="2:5" ht="14.4" thickBot="1" x14ac:dyDescent="0.3">
      <c r="B36" s="116"/>
      <c r="C36" s="43">
        <v>2019</v>
      </c>
      <c r="D36" s="52">
        <f>'ROA X3'!F35</f>
        <v>16890302770000</v>
      </c>
      <c r="E36" s="66">
        <f>LN(D36:D41)</f>
        <v>30.457760772579299</v>
      </c>
    </row>
    <row r="37" spans="2:5" ht="14.4" thickBot="1" x14ac:dyDescent="0.3">
      <c r="B37" s="116"/>
      <c r="C37" s="43">
        <v>2020</v>
      </c>
      <c r="D37" s="52">
        <f>'ROA X3'!F36</f>
        <v>16423566075000</v>
      </c>
      <c r="E37" s="66">
        <f>LN(D37:D42)</f>
        <v>30.429738375118372</v>
      </c>
    </row>
    <row r="38" spans="2:5" ht="14.4" thickBot="1" x14ac:dyDescent="0.3">
      <c r="B38" s="116"/>
      <c r="C38" s="43">
        <v>2021</v>
      </c>
      <c r="D38" s="52">
        <f>'ROA X3'!F37</f>
        <v>23893867260000</v>
      </c>
      <c r="E38" s="66">
        <f>LN(D38:D43)</f>
        <v>30.804642941938599</v>
      </c>
    </row>
    <row r="39" spans="2:5" ht="14.4" thickBot="1" x14ac:dyDescent="0.3">
      <c r="B39" s="116"/>
      <c r="C39" s="43">
        <v>2022</v>
      </c>
      <c r="D39" s="52">
        <f>'ROA X3'!F38</f>
        <v>41738558193000</v>
      </c>
      <c r="E39" s="66">
        <f>LN(D39:D44)</f>
        <v>31.362446474407925</v>
      </c>
    </row>
    <row r="40" spans="2:5" ht="14.4" thickBot="1" x14ac:dyDescent="0.3">
      <c r="B40" s="45"/>
      <c r="C40" s="42" t="s">
        <v>219</v>
      </c>
      <c r="D40" s="50">
        <f>SUM(D35:D39)/5</f>
        <v>23718095749200</v>
      </c>
      <c r="E40" s="67">
        <f>SUM(E35:E39)/5</f>
        <v>30.732678203527872</v>
      </c>
    </row>
    <row r="41" spans="2:5" ht="14.4" thickBot="1" x14ac:dyDescent="0.3">
      <c r="B41" s="115" t="s">
        <v>129</v>
      </c>
      <c r="C41" s="43">
        <v>2018</v>
      </c>
      <c r="D41" s="52">
        <f>'ROA X3'!F40</f>
        <v>3263871752960</v>
      </c>
      <c r="E41" s="66">
        <f t="shared" si="0"/>
        <v>28.813935260885934</v>
      </c>
    </row>
    <row r="42" spans="2:5" ht="14.4" thickBot="1" x14ac:dyDescent="0.3">
      <c r="B42" s="116"/>
      <c r="C42" s="43">
        <v>2019</v>
      </c>
      <c r="D42" s="52">
        <f>'ROA X3'!F41</f>
        <v>3047351957100</v>
      </c>
      <c r="E42" s="66">
        <f>LN(D42:D47)</f>
        <v>28.745294118647706</v>
      </c>
    </row>
    <row r="43" spans="2:5" ht="14.4" thickBot="1" x14ac:dyDescent="0.3">
      <c r="B43" s="116"/>
      <c r="C43" s="43">
        <v>2020</v>
      </c>
      <c r="D43" s="52">
        <f>'ROA X3'!F42</f>
        <v>2762127175500</v>
      </c>
      <c r="E43" s="66">
        <f>LN(D43:D48)</f>
        <v>28.647022214569599</v>
      </c>
    </row>
    <row r="44" spans="2:5" ht="14.4" thickBot="1" x14ac:dyDescent="0.3">
      <c r="B44" s="116"/>
      <c r="C44" s="43">
        <v>2021</v>
      </c>
      <c r="D44" s="52">
        <f>'ROA X3'!F43</f>
        <v>2547344478900</v>
      </c>
      <c r="E44" s="66">
        <f>LN(D44:D49)</f>
        <v>28.566072551661598</v>
      </c>
    </row>
    <row r="45" spans="2:5" ht="14.4" thickBot="1" x14ac:dyDescent="0.3">
      <c r="B45" s="116"/>
      <c r="C45" s="43">
        <v>2022</v>
      </c>
      <c r="D45" s="52">
        <f>'ROA X3'!F44</f>
        <v>3335602122448</v>
      </c>
      <c r="E45" s="66">
        <f>LN(D45:D50)</f>
        <v>28.835674325460754</v>
      </c>
    </row>
    <row r="46" spans="2:5" ht="14.4" thickBot="1" x14ac:dyDescent="0.3">
      <c r="B46" s="45"/>
      <c r="C46" s="42" t="s">
        <v>219</v>
      </c>
      <c r="D46" s="50">
        <f>SUM(D41:D45)/5</f>
        <v>2991259497381.6001</v>
      </c>
      <c r="E46" s="67">
        <f>SUM(E41:E45)/5</f>
        <v>28.721599694245118</v>
      </c>
    </row>
    <row r="47" spans="2:5" ht="14.4" thickBot="1" x14ac:dyDescent="0.3">
      <c r="B47" s="115" t="s">
        <v>140</v>
      </c>
      <c r="C47" s="43">
        <v>2018</v>
      </c>
      <c r="D47" s="52">
        <f>'ROA X3'!F46</f>
        <v>76438086185538</v>
      </c>
      <c r="E47" s="66">
        <f t="shared" si="0"/>
        <v>31.967502198167963</v>
      </c>
    </row>
    <row r="48" spans="2:5" ht="14.4" thickBot="1" x14ac:dyDescent="0.3">
      <c r="B48" s="116"/>
      <c r="C48" s="43">
        <v>2019</v>
      </c>
      <c r="D48" s="52">
        <f>'ROA X3'!F47</f>
        <v>83785402191370</v>
      </c>
      <c r="E48" s="66">
        <f>LN(D48:D53)</f>
        <v>32.059279910048645</v>
      </c>
    </row>
    <row r="49" spans="2:5" ht="14.4" thickBot="1" x14ac:dyDescent="0.3">
      <c r="B49" s="116"/>
      <c r="C49" s="43">
        <v>2020</v>
      </c>
      <c r="D49" s="52">
        <f>'ROA X3'!F48</f>
        <v>83644165387125</v>
      </c>
      <c r="E49" s="66">
        <f>LN(D49:D54)</f>
        <v>32.057592790625371</v>
      </c>
    </row>
    <row r="50" spans="2:5" ht="14.4" thickBot="1" x14ac:dyDescent="0.3">
      <c r="B50" s="116"/>
      <c r="C50" s="43">
        <v>2021</v>
      </c>
      <c r="D50" s="52">
        <f>'ROA X3'!F49</f>
        <v>81506898553260</v>
      </c>
      <c r="E50" s="66">
        <f>LN(D50:D55)</f>
        <v>32.031708777418473</v>
      </c>
    </row>
    <row r="51" spans="2:5" ht="14.4" thickBot="1" x14ac:dyDescent="0.3">
      <c r="B51" s="116"/>
      <c r="C51" s="43">
        <v>2022</v>
      </c>
      <c r="D51" s="52">
        <f>'ROA X3'!F50</f>
        <v>109586499203234</v>
      </c>
      <c r="E51" s="66">
        <f>LN(D51:D56)</f>
        <v>32.327735300402637</v>
      </c>
    </row>
    <row r="52" spans="2:5" ht="14.4" thickBot="1" x14ac:dyDescent="0.3">
      <c r="B52" s="45"/>
      <c r="C52" s="42" t="s">
        <v>219</v>
      </c>
      <c r="D52" s="50">
        <f>SUM(D47:D51)/5</f>
        <v>86992210304105.406</v>
      </c>
      <c r="E52" s="67">
        <f>SUM(E47:E51)/5</f>
        <v>32.088763795332625</v>
      </c>
    </row>
    <row r="53" spans="2:5" ht="14.4" thickBot="1" x14ac:dyDescent="0.3">
      <c r="B53" s="115" t="s">
        <v>150</v>
      </c>
      <c r="C53" s="43">
        <v>2018</v>
      </c>
      <c r="D53" s="52">
        <f>'ROA X3'!F52</f>
        <v>115540242399351</v>
      </c>
      <c r="E53" s="66">
        <f t="shared" si="0"/>
        <v>32.380640004248576</v>
      </c>
    </row>
    <row r="54" spans="2:5" ht="14.4" thickBot="1" x14ac:dyDescent="0.3">
      <c r="B54" s="116"/>
      <c r="C54" s="43">
        <v>2019</v>
      </c>
      <c r="D54" s="52">
        <f>'ROA X3'!F53</f>
        <v>103010772789320</v>
      </c>
      <c r="E54" s="66">
        <f>LN(D54:D59)</f>
        <v>32.265854688876587</v>
      </c>
    </row>
    <row r="55" spans="2:5" ht="14.4" thickBot="1" x14ac:dyDescent="0.3">
      <c r="B55" s="116"/>
      <c r="C55" s="43">
        <v>2020</v>
      </c>
      <c r="D55" s="52">
        <f>'ROA X3'!F54</f>
        <v>106794257149125</v>
      </c>
      <c r="E55" s="66">
        <f>LN(D55:D60)</f>
        <v>32.301925268996939</v>
      </c>
    </row>
    <row r="56" spans="2:5" ht="14.4" thickBot="1" x14ac:dyDescent="0.3">
      <c r="B56" s="116"/>
      <c r="C56" s="43">
        <v>2021</v>
      </c>
      <c r="D56" s="52">
        <f>'ROA X3'!F55</f>
        <v>107707007254680</v>
      </c>
      <c r="E56" s="66">
        <f>LN(D56:D61)</f>
        <v>32.310435760691952</v>
      </c>
    </row>
    <row r="57" spans="2:5" ht="14.4" thickBot="1" x14ac:dyDescent="0.3">
      <c r="B57" s="116"/>
      <c r="C57" s="43">
        <v>2022</v>
      </c>
      <c r="D57" s="52">
        <f>'ROA X3'!F56</f>
        <v>113743541455438</v>
      </c>
      <c r="E57" s="66">
        <f>LN(D57:D62)</f>
        <v>32.36496739373392</v>
      </c>
    </row>
    <row r="58" spans="2:5" ht="14.4" thickBot="1" x14ac:dyDescent="0.3">
      <c r="B58" s="45"/>
      <c r="C58" s="42" t="s">
        <v>219</v>
      </c>
      <c r="D58" s="50">
        <f>SUM(D53:D57)/5</f>
        <v>109359164209582.8</v>
      </c>
      <c r="E58" s="67">
        <f>SUM(E53:E57)/5</f>
        <v>32.324764623309591</v>
      </c>
    </row>
    <row r="59" spans="2:5" ht="14.4" thickBot="1" x14ac:dyDescent="0.3">
      <c r="B59" s="115" t="s">
        <v>156</v>
      </c>
      <c r="C59" s="43">
        <v>2018</v>
      </c>
      <c r="D59" s="52">
        <f>'ROA X3'!F58</f>
        <v>1602496711431</v>
      </c>
      <c r="E59" s="66">
        <f t="shared" si="0"/>
        <v>28.10258397358999</v>
      </c>
    </row>
    <row r="60" spans="2:5" ht="14.4" thickBot="1" x14ac:dyDescent="0.3">
      <c r="B60" s="116"/>
      <c r="C60" s="43">
        <v>2019</v>
      </c>
      <c r="D60" s="52">
        <f>'ROA X3'!F59</f>
        <v>2000483506010</v>
      </c>
      <c r="E60" s="66">
        <f>LN(D60:D65)</f>
        <v>28.324410020275945</v>
      </c>
    </row>
    <row r="61" spans="2:5" ht="14.4" thickBot="1" x14ac:dyDescent="0.3">
      <c r="B61" s="116"/>
      <c r="C61" s="43">
        <v>2020</v>
      </c>
      <c r="D61" s="52">
        <f>'ROA X3'!F60</f>
        <v>2081398783275</v>
      </c>
      <c r="E61" s="66">
        <f>LN(D61:D66)</f>
        <v>28.36406127557952</v>
      </c>
    </row>
    <row r="62" spans="2:5" ht="14.4" thickBot="1" x14ac:dyDescent="0.3">
      <c r="B62" s="116"/>
      <c r="C62" s="43">
        <v>2021</v>
      </c>
      <c r="D62" s="52">
        <f>'ROA X3'!F61</f>
        <v>2312126391000</v>
      </c>
      <c r="E62" s="66">
        <f>LN(D62:D67)</f>
        <v>28.469188732632016</v>
      </c>
    </row>
    <row r="63" spans="2:5" ht="14.4" thickBot="1" x14ac:dyDescent="0.3">
      <c r="B63" s="116"/>
      <c r="C63" s="43">
        <v>2022</v>
      </c>
      <c r="D63" s="52">
        <f>'ROA X3'!F62</f>
        <v>2835414452623</v>
      </c>
      <c r="E63" s="66">
        <f>LN(D63:D68)</f>
        <v>28.673209233824753</v>
      </c>
    </row>
    <row r="64" spans="2:5" ht="14.4" thickBot="1" x14ac:dyDescent="0.3">
      <c r="B64" s="45"/>
      <c r="C64" s="42" t="s">
        <v>219</v>
      </c>
      <c r="D64" s="50">
        <f>SUM(D59:D63)/5</f>
        <v>2166383968867.8</v>
      </c>
      <c r="E64" s="67">
        <f>SUM(E59:E63)/5</f>
        <v>28.386690647180444</v>
      </c>
    </row>
    <row r="65" spans="2:5" ht="14.4" thickBot="1" x14ac:dyDescent="0.3">
      <c r="B65" s="115" t="s">
        <v>162</v>
      </c>
      <c r="C65" s="43">
        <v>2018</v>
      </c>
      <c r="D65" s="52">
        <f>'ROA X3'!F64</f>
        <v>24172933000000</v>
      </c>
      <c r="E65" s="66">
        <f t="shared" si="0"/>
        <v>30.81625465206125</v>
      </c>
    </row>
    <row r="66" spans="2:5" ht="14.4" thickBot="1" x14ac:dyDescent="0.3">
      <c r="B66" s="116"/>
      <c r="C66" s="43">
        <v>2019</v>
      </c>
      <c r="D66" s="52">
        <f>'ROA X3'!F65</f>
        <v>26098052000000</v>
      </c>
      <c r="E66" s="66">
        <f>LN(D66:D71)</f>
        <v>30.892881791456464</v>
      </c>
    </row>
    <row r="67" spans="2:5" ht="14.4" thickBot="1" x14ac:dyDescent="0.3">
      <c r="B67" s="116"/>
      <c r="C67" s="43">
        <v>2020</v>
      </c>
      <c r="D67" s="52">
        <f>'ROA X3'!F66</f>
        <v>24056755000000</v>
      </c>
      <c r="E67" s="66">
        <f>LN(D67:D72)</f>
        <v>30.811436946223704</v>
      </c>
    </row>
    <row r="68" spans="2:5" ht="14.4" thickBot="1" x14ac:dyDescent="0.3">
      <c r="B68" s="116"/>
      <c r="C68" s="43">
        <v>2021</v>
      </c>
      <c r="D68" s="52">
        <f>'ROA X3'!F67</f>
        <v>36123703000000</v>
      </c>
      <c r="E68" s="66">
        <f>LN(D68:D73)</f>
        <v>31.217970358602425</v>
      </c>
    </row>
    <row r="69" spans="2:5" ht="14.4" thickBot="1" x14ac:dyDescent="0.3">
      <c r="B69" s="116"/>
      <c r="C69" s="43">
        <v>2022</v>
      </c>
      <c r="D69" s="52">
        <f>'ROA X3'!F68</f>
        <v>45359207000000</v>
      </c>
      <c r="E69" s="66">
        <f>LN(D69:D74)</f>
        <v>31.445634292831912</v>
      </c>
    </row>
    <row r="70" spans="2:5" ht="14.4" thickBot="1" x14ac:dyDescent="0.3">
      <c r="B70" s="45"/>
      <c r="C70" s="42" t="s">
        <v>219</v>
      </c>
      <c r="D70" s="50">
        <f>SUM(D65:D69)/5</f>
        <v>31162130000000</v>
      </c>
      <c r="E70" s="67">
        <f>SUM(E65:E69)/5</f>
        <v>31.036835608235151</v>
      </c>
    </row>
    <row r="71" spans="2:5" ht="14.4" thickBot="1" x14ac:dyDescent="0.3">
      <c r="B71" s="115" t="s">
        <v>168</v>
      </c>
      <c r="C71" s="43">
        <v>2018</v>
      </c>
      <c r="D71" s="52">
        <f>'ROA X3'!F70</f>
        <v>344711000000000</v>
      </c>
      <c r="E71" s="66">
        <f t="shared" si="0"/>
        <v>33.473727500749568</v>
      </c>
    </row>
    <row r="72" spans="2:5" ht="14.4" thickBot="1" x14ac:dyDescent="0.3">
      <c r="B72" s="116"/>
      <c r="C72" s="43">
        <v>2019</v>
      </c>
      <c r="D72" s="52">
        <f>'ROA X3'!F71</f>
        <v>87376000000000</v>
      </c>
      <c r="E72" s="66">
        <f>LN(D72:D77)</f>
        <v>32.101241761338343</v>
      </c>
    </row>
    <row r="73" spans="2:5" ht="14.4" thickBot="1" x14ac:dyDescent="0.3">
      <c r="B73" s="116"/>
      <c r="C73" s="43">
        <v>2020</v>
      </c>
      <c r="D73" s="52">
        <f>'ROA X3'!F72</f>
        <v>91919000000000</v>
      </c>
      <c r="E73" s="66">
        <f>LN(D73:D78)</f>
        <v>32.15192887038463</v>
      </c>
    </row>
    <row r="74" spans="2:5" ht="14.4" thickBot="1" x14ac:dyDescent="0.3">
      <c r="B74" s="116"/>
      <c r="C74" s="43">
        <v>2021</v>
      </c>
      <c r="D74" s="52">
        <f>'ROA X3'!F73</f>
        <v>367311000000000</v>
      </c>
      <c r="E74" s="66">
        <f>LN(D74:D79)</f>
        <v>33.537230016576899</v>
      </c>
    </row>
    <row r="75" spans="2:5" ht="14.4" thickBot="1" x14ac:dyDescent="0.3">
      <c r="B75" s="116"/>
      <c r="C75" s="43">
        <v>2022</v>
      </c>
      <c r="D75" s="52">
        <f>'ROA X3'!F74</f>
        <v>413297000000000</v>
      </c>
      <c r="E75" s="66">
        <f>LN(D75:D80)</f>
        <v>33.655187578769997</v>
      </c>
    </row>
    <row r="76" spans="2:5" ht="14.4" thickBot="1" x14ac:dyDescent="0.3">
      <c r="B76" s="45"/>
      <c r="C76" s="42" t="s">
        <v>219</v>
      </c>
      <c r="D76" s="50">
        <f>SUM(D71:D75)/5</f>
        <v>260922800000000</v>
      </c>
      <c r="E76" s="67">
        <f>SUM(E71:E75)/5</f>
        <v>32.983863145563888</v>
      </c>
    </row>
    <row r="77" spans="2:5" ht="14.4" thickBot="1" x14ac:dyDescent="0.3">
      <c r="B77" s="115" t="s">
        <v>173</v>
      </c>
      <c r="C77" s="43">
        <v>2018</v>
      </c>
      <c r="D77" s="52">
        <f>'ROA X3'!F76</f>
        <v>116281017000000</v>
      </c>
      <c r="E77" s="66">
        <f t="shared" si="0"/>
        <v>32.38703093771101</v>
      </c>
    </row>
    <row r="78" spans="2:5" ht="14.4" thickBot="1" x14ac:dyDescent="0.3">
      <c r="B78" s="116"/>
      <c r="C78" s="43">
        <v>2019</v>
      </c>
      <c r="D78" s="52">
        <f>'ROA X3'!F77</f>
        <v>111713375000000</v>
      </c>
      <c r="E78" s="66">
        <f>LN(D78:D83)</f>
        <v>32.346957555211404</v>
      </c>
    </row>
    <row r="79" spans="2:5" ht="14.4" thickBot="1" x14ac:dyDescent="0.3">
      <c r="B79" s="116"/>
      <c r="C79" s="43">
        <v>2020</v>
      </c>
      <c r="D79" s="52">
        <f>'ROA X3'!F78</f>
        <v>99800963000000</v>
      </c>
      <c r="E79" s="66">
        <f>LN(D79:D84)</f>
        <v>32.234198948498012</v>
      </c>
    </row>
    <row r="80" spans="2:5" ht="14.4" thickBot="1" x14ac:dyDescent="0.3">
      <c r="B80" s="116"/>
      <c r="C80" s="43">
        <v>2021</v>
      </c>
      <c r="D80" s="52">
        <f>'ROA X3'!F79</f>
        <v>112561356000000</v>
      </c>
      <c r="E80" s="66">
        <f>LN(D80:D85)</f>
        <v>32.354519575570436</v>
      </c>
    </row>
    <row r="81" spans="2:5" ht="14.4" thickBot="1" x14ac:dyDescent="0.3">
      <c r="B81" s="116"/>
      <c r="C81" s="43">
        <v>2022</v>
      </c>
      <c r="D81" s="52">
        <f>'ROA X3'!F80</f>
        <v>140478220000000</v>
      </c>
      <c r="E81" s="66">
        <f>LN(D81:D86)</f>
        <v>32.576073574892256</v>
      </c>
    </row>
    <row r="82" spans="2:5" ht="14.4" thickBot="1" x14ac:dyDescent="0.3">
      <c r="B82" s="45"/>
      <c r="C82" s="42" t="s">
        <v>219</v>
      </c>
      <c r="D82" s="50">
        <f>SUM(D77:D81)/5</f>
        <v>116166986200000</v>
      </c>
      <c r="E82" s="67">
        <f>SUM(E77:E81)/5</f>
        <v>32.379756118376619</v>
      </c>
    </row>
    <row r="83" spans="2:5" ht="14.4" thickBot="1" x14ac:dyDescent="0.3">
      <c r="B83" s="115" t="s">
        <v>174</v>
      </c>
      <c r="C83" s="43">
        <v>2018</v>
      </c>
      <c r="D83" s="52">
        <f>'ROA X3'!F82</f>
        <v>57613954000000</v>
      </c>
      <c r="E83" s="66">
        <f t="shared" ref="E83:E158" si="1">LN(D83:D87)</f>
        <v>31.684785911235362</v>
      </c>
    </row>
    <row r="84" spans="2:5" ht="14.4" thickBot="1" x14ac:dyDescent="0.3">
      <c r="B84" s="116"/>
      <c r="C84" s="43">
        <v>2019</v>
      </c>
      <c r="D84" s="52">
        <f>'ROA X3'!F83</f>
        <v>62725000000000</v>
      </c>
      <c r="E84" s="66">
        <f>LN(D84:D89)</f>
        <v>31.769781208181033</v>
      </c>
    </row>
    <row r="85" spans="2:5" ht="14.4" thickBot="1" x14ac:dyDescent="0.3">
      <c r="B85" s="116"/>
      <c r="C85" s="43">
        <v>2020</v>
      </c>
      <c r="D85" s="52">
        <f>'ROA X3'!F84</f>
        <v>67745000000000</v>
      </c>
      <c r="E85" s="66">
        <f>LN(D85:D90)</f>
        <v>31.846771772226944</v>
      </c>
    </row>
    <row r="86" spans="2:5" ht="14.4" thickBot="1" x14ac:dyDescent="0.3">
      <c r="B86" s="116"/>
      <c r="C86" s="43">
        <v>2021</v>
      </c>
      <c r="D86" s="52">
        <f>'ROA X3'!F85</f>
        <v>112561356000000</v>
      </c>
      <c r="E86" s="66">
        <f>LN(D86:D91)</f>
        <v>32.354519575570436</v>
      </c>
    </row>
    <row r="87" spans="2:5" ht="14.4" thickBot="1" x14ac:dyDescent="0.3">
      <c r="B87" s="116"/>
      <c r="C87" s="43">
        <v>2022</v>
      </c>
      <c r="D87" s="52">
        <f>'ROA X3'!F86</f>
        <v>140478220000000</v>
      </c>
      <c r="E87" s="66">
        <f>LN(D87:D92)</f>
        <v>32.576073574892256</v>
      </c>
    </row>
    <row r="88" spans="2:5" ht="14.4" thickBot="1" x14ac:dyDescent="0.3">
      <c r="B88" s="45"/>
      <c r="C88" s="42" t="s">
        <v>219</v>
      </c>
      <c r="D88" s="50">
        <f>SUM(D83:D87)/5</f>
        <v>88224706000000</v>
      </c>
      <c r="E88" s="67">
        <f>SUM(E83:E87)/5</f>
        <v>32.046386408421206</v>
      </c>
    </row>
    <row r="89" spans="2:5" ht="14.4" thickBot="1" x14ac:dyDescent="0.3">
      <c r="B89" s="115" t="s">
        <v>175</v>
      </c>
      <c r="C89" s="43">
        <v>2018</v>
      </c>
      <c r="D89" s="52">
        <f>'ROA X3'!F88</f>
        <v>82418600790000</v>
      </c>
      <c r="E89" s="66">
        <f t="shared" si="1"/>
        <v>32.042832265111763</v>
      </c>
    </row>
    <row r="90" spans="2:5" ht="14.4" thickBot="1" x14ac:dyDescent="0.3">
      <c r="B90" s="116"/>
      <c r="C90" s="43">
        <v>2019</v>
      </c>
      <c r="D90" s="52">
        <f>'ROA X3'!F89</f>
        <v>99679570000000</v>
      </c>
      <c r="E90" s="66">
        <f>LN(D90:D95)</f>
        <v>32.232981857154215</v>
      </c>
    </row>
    <row r="91" spans="2:5" ht="14.4" thickBot="1" x14ac:dyDescent="0.3">
      <c r="B91" s="116"/>
      <c r="C91" s="43">
        <v>2020</v>
      </c>
      <c r="D91" s="52">
        <f>'ROA X3'!F90</f>
        <v>104086646000000</v>
      </c>
      <c r="E91" s="66">
        <f>LN(D91:D96)</f>
        <v>32.276244802821303</v>
      </c>
    </row>
    <row r="92" spans="2:5" ht="14.4" thickBot="1" x14ac:dyDescent="0.3">
      <c r="B92" s="116"/>
      <c r="C92" s="43">
        <v>2021</v>
      </c>
      <c r="D92" s="52">
        <f>'ROA X3'!F91</f>
        <v>101242884000000</v>
      </c>
      <c r="E92" s="66">
        <f>LN(D92:D97)</f>
        <v>32.248543537963855</v>
      </c>
    </row>
    <row r="93" spans="2:5" ht="14.4" thickBot="1" x14ac:dyDescent="0.3">
      <c r="B93" s="116"/>
      <c r="C93" s="43">
        <v>2022</v>
      </c>
      <c r="D93" s="52">
        <f>'ROA X3'!F92</f>
        <v>91139182000000</v>
      </c>
      <c r="E93" s="66">
        <f>LN(D93:D98)</f>
        <v>32.143408926521026</v>
      </c>
    </row>
    <row r="94" spans="2:5" ht="14.4" thickBot="1" x14ac:dyDescent="0.3">
      <c r="B94" s="45"/>
      <c r="C94" s="42" t="s">
        <v>219</v>
      </c>
      <c r="D94" s="50">
        <f>SUM(D89:D93)/5</f>
        <v>95713376558000</v>
      </c>
      <c r="E94" s="67">
        <f>SUM(E89:E93)/5</f>
        <v>32.188802277914434</v>
      </c>
    </row>
    <row r="95" spans="2:5" ht="14.4" thickBot="1" x14ac:dyDescent="0.3">
      <c r="B95" s="115" t="s">
        <v>176</v>
      </c>
      <c r="C95" s="43">
        <v>2018</v>
      </c>
      <c r="D95" s="52">
        <f>'ROA X3'!F94</f>
        <v>52549150902972</v>
      </c>
      <c r="E95" s="66">
        <f t="shared" si="1"/>
        <v>31.592770055232709</v>
      </c>
    </row>
    <row r="96" spans="2:5" ht="14.4" thickBot="1" x14ac:dyDescent="0.3">
      <c r="B96" s="116"/>
      <c r="C96" s="43">
        <v>2019</v>
      </c>
      <c r="D96" s="52">
        <f>'ROA X3'!F95</f>
        <v>56130526187076</v>
      </c>
      <c r="E96" s="66">
        <f>LN(D96:D101)</f>
        <v>31.65870091927442</v>
      </c>
    </row>
    <row r="97" spans="2:5" ht="14.4" thickBot="1" x14ac:dyDescent="0.3">
      <c r="B97" s="116"/>
      <c r="C97" s="43">
        <v>2020</v>
      </c>
      <c r="D97" s="52">
        <f>'ROA X3'!F96</f>
        <v>53472450650976</v>
      </c>
      <c r="E97" s="66">
        <f>LN(D97:D102)</f>
        <v>31.610187696099555</v>
      </c>
    </row>
    <row r="98" spans="2:5" ht="14.4" thickBot="1" x14ac:dyDescent="0.3">
      <c r="B98" s="116"/>
      <c r="C98" s="43">
        <v>2021</v>
      </c>
      <c r="D98" s="52">
        <f>'ROA X3'!F97</f>
        <v>55573843735084</v>
      </c>
      <c r="E98" s="66">
        <f>LN(D98:D103)</f>
        <v>31.648733770075804</v>
      </c>
    </row>
    <row r="99" spans="2:5" ht="14.4" thickBot="1" x14ac:dyDescent="0.3">
      <c r="B99" s="116"/>
      <c r="C99" s="43">
        <v>2022</v>
      </c>
      <c r="D99" s="52">
        <f>'ROA X3'!F98</f>
        <v>57612383140536</v>
      </c>
      <c r="E99" s="66">
        <f>LN(D99:D104)</f>
        <v>31.684758645603164</v>
      </c>
    </row>
    <row r="100" spans="2:5" ht="14.4" thickBot="1" x14ac:dyDescent="0.3">
      <c r="B100" s="45"/>
      <c r="C100" s="42" t="s">
        <v>219</v>
      </c>
      <c r="D100" s="50">
        <f>SUM(D95:D99)/5</f>
        <v>55067670923328.797</v>
      </c>
      <c r="E100" s="67">
        <f>SUM(E95:E99)/5</f>
        <v>31.63903021725713</v>
      </c>
    </row>
    <row r="101" spans="2:5" ht="14.4" thickBot="1" x14ac:dyDescent="0.3">
      <c r="B101" s="115" t="s">
        <v>177</v>
      </c>
      <c r="C101" s="43">
        <v>2018</v>
      </c>
      <c r="D101" s="52">
        <f>'ROA X3'!F100</f>
        <v>26856967000000</v>
      </c>
      <c r="E101" s="66">
        <f t="shared" si="1"/>
        <v>30.921546381809407</v>
      </c>
    </row>
    <row r="102" spans="2:5" ht="14.4" thickBot="1" x14ac:dyDescent="0.3">
      <c r="B102" s="116"/>
      <c r="C102" s="43">
        <v>2019</v>
      </c>
      <c r="D102" s="52">
        <f>'ROA X3'!F101</f>
        <v>26974124000000</v>
      </c>
      <c r="E102" s="66">
        <f>LN(D102:D107)</f>
        <v>30.925899152031999</v>
      </c>
    </row>
    <row r="103" spans="2:5" ht="14.4" thickBot="1" x14ac:dyDescent="0.3">
      <c r="B103" s="116"/>
      <c r="C103" s="43">
        <v>2020</v>
      </c>
      <c r="D103" s="52">
        <f>'ROA X3'!F102</f>
        <v>27781231000000</v>
      </c>
      <c r="E103" s="66">
        <f>LN(D103:D108)</f>
        <v>30.955381764727981</v>
      </c>
    </row>
    <row r="104" spans="2:5" ht="14.4" thickBot="1" x14ac:dyDescent="0.3">
      <c r="B104" s="116"/>
      <c r="C104" s="43">
        <v>2021</v>
      </c>
      <c r="D104" s="52">
        <f>'ROA X3'!F103</f>
        <v>30399906000000</v>
      </c>
      <c r="E104" s="66">
        <f>LN(D104:D109)</f>
        <v>31.045460632230679</v>
      </c>
    </row>
    <row r="105" spans="2:5" ht="14.4" thickBot="1" x14ac:dyDescent="0.3">
      <c r="B105" s="116"/>
      <c r="C105" s="43">
        <v>2022</v>
      </c>
      <c r="D105" s="52">
        <f>'ROA X3'!F104</f>
        <v>29249340000000</v>
      </c>
      <c r="E105" s="66">
        <f>LN(D105:D110)</f>
        <v>31.006878125249276</v>
      </c>
    </row>
    <row r="106" spans="2:5" ht="14.4" thickBot="1" x14ac:dyDescent="0.3">
      <c r="B106" s="45"/>
      <c r="C106" s="42" t="s">
        <v>219</v>
      </c>
      <c r="D106" s="50">
        <f>SUM(D101:D105)/5</f>
        <v>28252313600000</v>
      </c>
      <c r="E106" s="67">
        <f>SUM(E101:E105)/5</f>
        <v>30.971033211209868</v>
      </c>
    </row>
    <row r="107" spans="2:5" ht="14.4" thickBot="1" x14ac:dyDescent="0.3">
      <c r="B107" s="115" t="s">
        <v>178</v>
      </c>
      <c r="C107" s="43">
        <v>2018</v>
      </c>
      <c r="D107" s="52">
        <f>'ROA X3'!F106</f>
        <v>59230001239000</v>
      </c>
      <c r="E107" s="66">
        <f t="shared" si="1"/>
        <v>31.712449307135874</v>
      </c>
    </row>
    <row r="108" spans="2:5" ht="14.4" thickBot="1" x14ac:dyDescent="0.3">
      <c r="B108" s="116"/>
      <c r="C108" s="43">
        <v>2019</v>
      </c>
      <c r="D108" s="52">
        <f>'ROA X3'!F107</f>
        <v>62110847154000</v>
      </c>
      <c r="E108" s="66">
        <f>LN(D108:D113)</f>
        <v>31.75994176198169</v>
      </c>
    </row>
    <row r="109" spans="2:5" ht="14.4" thickBot="1" x14ac:dyDescent="0.3">
      <c r="B109" s="116"/>
      <c r="C109" s="43">
        <v>2020</v>
      </c>
      <c r="D109" s="52">
        <f>'ROA X3'!F108</f>
        <v>68109185213000</v>
      </c>
      <c r="E109" s="66">
        <f>LN(D109:D114)</f>
        <v>31.852133198300059</v>
      </c>
    </row>
    <row r="110" spans="2:5" ht="14.4" thickBot="1" x14ac:dyDescent="0.3">
      <c r="B110" s="116"/>
      <c r="C110" s="43">
        <v>2021</v>
      </c>
      <c r="D110" s="52">
        <f>'ROA X3'!F109</f>
        <v>69385794346000</v>
      </c>
      <c r="E110" s="66">
        <f>LN(D110:D115)</f>
        <v>31.870703270068205</v>
      </c>
    </row>
    <row r="111" spans="2:5" ht="14.4" thickBot="1" x14ac:dyDescent="0.3">
      <c r="B111" s="116"/>
      <c r="C111" s="43">
        <v>2022</v>
      </c>
      <c r="D111" s="52">
        <f>'ROA X3'!F110</f>
        <v>75069604222000</v>
      </c>
      <c r="E111" s="66">
        <f>LN(D111:D116)</f>
        <v>31.949436855380206</v>
      </c>
    </row>
    <row r="112" spans="2:5" ht="14.4" thickBot="1" x14ac:dyDescent="0.3">
      <c r="B112" s="45"/>
      <c r="C112" s="42" t="s">
        <v>219</v>
      </c>
      <c r="D112" s="50">
        <f>SUM(D107:D111)/5</f>
        <v>66781086434800</v>
      </c>
      <c r="E112" s="67">
        <f>SUM(E107:E111)/5</f>
        <v>31.828932878573205</v>
      </c>
    </row>
    <row r="113" spans="2:5" ht="14.4" thickBot="1" x14ac:dyDescent="0.3">
      <c r="B113" s="115" t="s">
        <v>179</v>
      </c>
      <c r="C113" s="43">
        <v>2018</v>
      </c>
      <c r="D113" s="52">
        <f>'ROA X3'!F112</f>
        <v>124391581623636</v>
      </c>
      <c r="E113" s="66">
        <f t="shared" si="1"/>
        <v>32.454455622108064</v>
      </c>
    </row>
    <row r="114" spans="2:5" ht="14.4" thickBot="1" x14ac:dyDescent="0.3">
      <c r="B114" s="116"/>
      <c r="C114" s="43">
        <v>2019</v>
      </c>
      <c r="D114" s="52">
        <f>'ROA X3'!F113</f>
        <v>122589259350571</v>
      </c>
      <c r="E114" s="66">
        <f>LN(D114:D119)</f>
        <v>32.439860528338194</v>
      </c>
    </row>
    <row r="115" spans="2:5" ht="14.4" thickBot="1" x14ac:dyDescent="0.3">
      <c r="B115" s="116"/>
      <c r="C115" s="43">
        <v>2020</v>
      </c>
      <c r="D115" s="52">
        <f>'ROA X3'!F114</f>
        <v>105588960060005</v>
      </c>
      <c r="E115" s="66">
        <f>LN(D115:D120)</f>
        <v>32.290574936849197</v>
      </c>
    </row>
    <row r="116" spans="2:5" ht="14.4" thickBot="1" x14ac:dyDescent="0.3">
      <c r="B116" s="116"/>
      <c r="C116" s="43">
        <v>2021</v>
      </c>
      <c r="D116" s="52">
        <f>'ROA X3'!F115</f>
        <v>103601611883340</v>
      </c>
      <c r="E116" s="66">
        <f>LN(D116:D121)</f>
        <v>32.271574004352395</v>
      </c>
    </row>
    <row r="117" spans="2:5" ht="14.4" thickBot="1" x14ac:dyDescent="0.3">
      <c r="B117" s="116"/>
      <c r="C117" s="43">
        <v>2022</v>
      </c>
      <c r="D117" s="52">
        <f>'ROA X3'!F116</f>
        <v>98232316628846</v>
      </c>
      <c r="E117" s="66">
        <f>LN(D117:D122)</f>
        <v>32.218356367057545</v>
      </c>
    </row>
    <row r="118" spans="2:5" ht="14.4" thickBot="1" x14ac:dyDescent="0.3">
      <c r="B118" s="45"/>
      <c r="C118" s="42" t="s">
        <v>219</v>
      </c>
      <c r="D118" s="50">
        <f>SUM(D113:D117)/5</f>
        <v>110880745909279.59</v>
      </c>
      <c r="E118" s="67">
        <f>SUM(E113:E117)/5</f>
        <v>32.33496429174108</v>
      </c>
    </row>
    <row r="119" spans="2:5" ht="14.4" thickBot="1" x14ac:dyDescent="0.3">
      <c r="B119" s="115" t="s">
        <v>180</v>
      </c>
      <c r="C119" s="43">
        <v>2018</v>
      </c>
      <c r="D119" s="52">
        <f>'ROA X3'!F118</f>
        <v>5984557425000</v>
      </c>
      <c r="E119" s="66">
        <f t="shared" si="1"/>
        <v>29.420203504835822</v>
      </c>
    </row>
    <row r="120" spans="2:5" ht="14.4" thickBot="1" x14ac:dyDescent="0.3">
      <c r="B120" s="116"/>
      <c r="C120" s="43">
        <v>2019</v>
      </c>
      <c r="D120" s="52">
        <f>'ROA X3'!F119</f>
        <v>6717977420000</v>
      </c>
      <c r="E120" s="66">
        <f>LN(D120:D125)</f>
        <v>29.535808245993621</v>
      </c>
    </row>
    <row r="121" spans="2:5" ht="14.4" thickBot="1" x14ac:dyDescent="0.3">
      <c r="B121" s="116"/>
      <c r="C121" s="43">
        <v>2020</v>
      </c>
      <c r="D121" s="52">
        <f>'ROA X3'!F120</f>
        <v>6586229475000</v>
      </c>
      <c r="E121" s="66">
        <f>LN(D121:D126)</f>
        <v>29.51600214212419</v>
      </c>
    </row>
    <row r="122" spans="2:5" ht="14.4" thickBot="1" x14ac:dyDescent="0.3">
      <c r="B122" s="116"/>
      <c r="C122" s="43">
        <v>2021</v>
      </c>
      <c r="D122" s="52">
        <f>'ROA X3'!F121</f>
        <v>6805032660000</v>
      </c>
      <c r="E122" s="66">
        <f>LN(D122:D127)</f>
        <v>29.548683551432656</v>
      </c>
    </row>
    <row r="123" spans="2:5" ht="14.4" thickBot="1" x14ac:dyDescent="0.3">
      <c r="B123" s="116"/>
      <c r="C123" s="43">
        <v>2022</v>
      </c>
      <c r="D123" s="52">
        <f>'ROA X3'!F122</f>
        <v>7395481818000</v>
      </c>
      <c r="E123" s="66">
        <f>LN(D123:D128)</f>
        <v>29.63189036453274</v>
      </c>
    </row>
    <row r="124" spans="2:5" ht="14.4" thickBot="1" x14ac:dyDescent="0.3">
      <c r="B124" s="45"/>
      <c r="C124" s="42" t="s">
        <v>219</v>
      </c>
      <c r="D124" s="50">
        <f>SUM(D119:D123)/5</f>
        <v>6697855759600</v>
      </c>
      <c r="E124" s="67">
        <f>SUM(E119:E123)/5</f>
        <v>29.530517561783807</v>
      </c>
    </row>
    <row r="125" spans="2:5" ht="14.4" thickBot="1" x14ac:dyDescent="0.3">
      <c r="B125" s="115" t="s">
        <v>181</v>
      </c>
      <c r="C125" s="43">
        <v>2018</v>
      </c>
      <c r="D125" s="52">
        <f>'ROA X3'!F124</f>
        <v>27788562000000</v>
      </c>
      <c r="E125" s="66">
        <f t="shared" si="1"/>
        <v>30.955645613112033</v>
      </c>
    </row>
    <row r="126" spans="2:5" ht="14.4" thickBot="1" x14ac:dyDescent="0.3">
      <c r="B126" s="116"/>
      <c r="C126" s="43">
        <v>2019</v>
      </c>
      <c r="D126" s="52">
        <f>'ROA X3'!F125</f>
        <v>27707749000000</v>
      </c>
      <c r="E126" s="66">
        <f>LN(D126:D131)</f>
        <v>30.952733237292282</v>
      </c>
    </row>
    <row r="127" spans="2:5" ht="14.4" thickBot="1" x14ac:dyDescent="0.3">
      <c r="B127" s="116"/>
      <c r="C127" s="43">
        <v>2020</v>
      </c>
      <c r="D127" s="52">
        <f>'ROA X3'!F126</f>
        <v>27344672000000</v>
      </c>
      <c r="E127" s="66">
        <f>LN(D127:D132)</f>
        <v>30.939542817775113</v>
      </c>
    </row>
    <row r="128" spans="2:5" ht="14.4" thickBot="1" x14ac:dyDescent="0.3">
      <c r="B128" s="116"/>
      <c r="C128" s="43">
        <v>2021</v>
      </c>
      <c r="D128" s="52">
        <f>'ROA X3'!F127</f>
        <v>26136114000000</v>
      </c>
      <c r="E128" s="66">
        <f>LN(D128:D133)</f>
        <v>30.894339152017622</v>
      </c>
    </row>
    <row r="129" spans="2:5" ht="14.4" thickBot="1" x14ac:dyDescent="0.3">
      <c r="B129" s="116"/>
      <c r="C129" s="43">
        <v>2022</v>
      </c>
      <c r="D129" s="52">
        <f>'ROA X3'!F128</f>
        <v>25706169000000</v>
      </c>
      <c r="E129" s="66">
        <f>LN(D129:D134)</f>
        <v>30.877752117935497</v>
      </c>
    </row>
    <row r="130" spans="2:5" ht="14.4" thickBot="1" x14ac:dyDescent="0.3">
      <c r="B130" s="45"/>
      <c r="C130" s="42" t="s">
        <v>219</v>
      </c>
      <c r="D130" s="50">
        <f>SUM(D125:D129)/5</f>
        <v>26936653200000</v>
      </c>
      <c r="E130" s="67">
        <f>SUM(E125:E129)/5</f>
        <v>30.924002587626507</v>
      </c>
    </row>
    <row r="131" spans="2:5" ht="14.4" thickBot="1" x14ac:dyDescent="0.3">
      <c r="B131" s="115" t="s">
        <v>182</v>
      </c>
      <c r="C131" s="43">
        <v>2018</v>
      </c>
      <c r="D131" s="52">
        <f>'ROA X3'!F130</f>
        <v>18667187000000</v>
      </c>
      <c r="E131" s="66">
        <f t="shared" si="1"/>
        <v>30.557788392607087</v>
      </c>
    </row>
    <row r="132" spans="2:5" ht="14.4" thickBot="1" x14ac:dyDescent="0.3">
      <c r="B132" s="116"/>
      <c r="C132" s="43">
        <v>2019</v>
      </c>
      <c r="D132" s="52">
        <f>'ROA X3'!F131</f>
        <v>19567498000000</v>
      </c>
      <c r="E132" s="66">
        <f>LN(D132:D137)</f>
        <v>30.604891040415101</v>
      </c>
    </row>
    <row r="133" spans="2:5" ht="14.4" thickBot="1" x14ac:dyDescent="0.3">
      <c r="B133" s="116"/>
      <c r="C133" s="43">
        <v>2020</v>
      </c>
      <c r="D133" s="52">
        <f>'ROA X3'!F132</f>
        <v>20738125000000</v>
      </c>
      <c r="E133" s="66">
        <f>LN(D133:D138)</f>
        <v>30.662994909628686</v>
      </c>
    </row>
    <row r="134" spans="2:5" ht="14.4" thickBot="1" x14ac:dyDescent="0.3">
      <c r="B134" s="116"/>
      <c r="C134" s="43">
        <v>2021</v>
      </c>
      <c r="D134" s="52">
        <f>'ROA X3'!F133</f>
        <v>21491023000000</v>
      </c>
      <c r="E134" s="66">
        <f>LN(D134:D139)</f>
        <v>30.698656428986485</v>
      </c>
    </row>
    <row r="135" spans="2:5" ht="14.4" thickBot="1" x14ac:dyDescent="0.3">
      <c r="B135" s="116"/>
      <c r="C135" s="43">
        <v>2022</v>
      </c>
      <c r="D135" s="52">
        <f>'ROA X3'!F134</f>
        <v>21378510000000</v>
      </c>
      <c r="E135" s="66">
        <f>LN(D135:D140)</f>
        <v>30.693407327796614</v>
      </c>
    </row>
    <row r="136" spans="2:5" ht="14.4" thickBot="1" x14ac:dyDescent="0.3">
      <c r="B136" s="45"/>
      <c r="C136" s="42" t="s">
        <v>219</v>
      </c>
      <c r="D136" s="50">
        <f>SUM(D131:D135)/5</f>
        <v>20368468600000</v>
      </c>
      <c r="E136" s="67">
        <f>SUM(E131:E135)/5</f>
        <v>30.643547619886796</v>
      </c>
    </row>
    <row r="137" spans="2:5" ht="14.4" thickBot="1" x14ac:dyDescent="0.3">
      <c r="B137" s="115" t="s">
        <v>183</v>
      </c>
      <c r="C137" s="43">
        <v>2018</v>
      </c>
      <c r="D137" s="52">
        <f>'ROA X3'!F136</f>
        <v>62493190581375</v>
      </c>
      <c r="E137" s="66">
        <f t="shared" si="1"/>
        <v>31.766078716037345</v>
      </c>
    </row>
    <row r="138" spans="2:5" ht="14.4" thickBot="1" x14ac:dyDescent="0.3">
      <c r="B138" s="116"/>
      <c r="C138" s="43">
        <v>2019</v>
      </c>
      <c r="D138" s="52">
        <f>'ROA X3'!F137</f>
        <v>75818614841004</v>
      </c>
      <c r="E138" s="66">
        <f>LN(D138:D143)</f>
        <v>31.959364956804801</v>
      </c>
    </row>
    <row r="139" spans="2:5" ht="14.4" thickBot="1" x14ac:dyDescent="0.3">
      <c r="B139" s="116"/>
      <c r="C139" s="43">
        <v>2020</v>
      </c>
      <c r="D139" s="52">
        <f>'ROA X3'!F138</f>
        <v>100740244241489</v>
      </c>
      <c r="E139" s="66">
        <f>LN(D139:D144)</f>
        <v>32.2435664807169</v>
      </c>
    </row>
    <row r="140" spans="2:5" ht="14.4" thickBot="1" x14ac:dyDescent="0.3">
      <c r="B140" s="116"/>
      <c r="C140" s="43">
        <v>2021</v>
      </c>
      <c r="D140" s="52">
        <f>'ROA X3'!F139</f>
        <v>114502100088563</v>
      </c>
      <c r="E140" s="66">
        <f>LN(D140:D145)</f>
        <v>32.371614280139468</v>
      </c>
    </row>
    <row r="141" spans="2:5" ht="14.4" thickBot="1" x14ac:dyDescent="0.3">
      <c r="B141" s="116"/>
      <c r="C141" s="43">
        <v>2022</v>
      </c>
      <c r="D141" s="52">
        <f>'ROA X3'!F140</f>
        <v>117128782653398</v>
      </c>
      <c r="E141" s="66">
        <f>LN(D141:D146)</f>
        <v>32.394295151832424</v>
      </c>
    </row>
    <row r="142" spans="2:5" ht="14.4" thickBot="1" x14ac:dyDescent="0.3">
      <c r="B142" s="45"/>
      <c r="C142" s="42" t="s">
        <v>219</v>
      </c>
      <c r="D142" s="50">
        <f>SUM(D137:D141)/5</f>
        <v>94136586481165.797</v>
      </c>
      <c r="E142" s="67">
        <f>SUM(E137:E141)/5</f>
        <v>32.146983917106184</v>
      </c>
    </row>
    <row r="143" spans="2:5" ht="14.4" thickBot="1" x14ac:dyDescent="0.3">
      <c r="B143" s="115" t="s">
        <v>184</v>
      </c>
      <c r="C143" s="43">
        <v>2018</v>
      </c>
      <c r="D143" s="52">
        <f>'ROA X3'!F142</f>
        <v>15117948000000</v>
      </c>
      <c r="E143" s="66">
        <f t="shared" si="1"/>
        <v>30.346903763184205</v>
      </c>
    </row>
    <row r="144" spans="2:5" ht="14.4" thickBot="1" x14ac:dyDescent="0.3">
      <c r="B144" s="116"/>
      <c r="C144" s="43">
        <v>2019</v>
      </c>
      <c r="D144" s="52">
        <f>'ROA X3'!F143</f>
        <v>20361278000000</v>
      </c>
      <c r="E144" s="66">
        <f>LN(D144:D149)</f>
        <v>30.644656075778432</v>
      </c>
    </row>
    <row r="145" spans="2:5" ht="14.4" thickBot="1" x14ac:dyDescent="0.3">
      <c r="B145" s="116"/>
      <c r="C145" s="43">
        <v>2020</v>
      </c>
      <c r="D145" s="52">
        <f>'ROA X3'!F144</f>
        <v>14517700000000</v>
      </c>
      <c r="E145" s="66">
        <f>LN(D145:D150)</f>
        <v>30.306389710574386</v>
      </c>
    </row>
    <row r="146" spans="2:5" ht="14.4" thickBot="1" x14ac:dyDescent="0.3">
      <c r="B146" s="116"/>
      <c r="C146" s="43">
        <v>2021</v>
      </c>
      <c r="D146" s="52">
        <f>'ROA X3'!F145</f>
        <v>14690989000000</v>
      </c>
      <c r="E146" s="66">
        <f>LN(D146:D151)</f>
        <v>30.318255428558814</v>
      </c>
    </row>
    <row r="147" spans="2:5" ht="14.4" thickBot="1" x14ac:dyDescent="0.3">
      <c r="B147" s="116"/>
      <c r="C147" s="43">
        <v>2022</v>
      </c>
      <c r="D147" s="52">
        <f>'ROA X3'!F146</f>
        <v>13066976000000</v>
      </c>
      <c r="E147" s="66">
        <f>LN(D147:D152)</f>
        <v>30.201109247246031</v>
      </c>
    </row>
    <row r="148" spans="2:5" ht="14.4" thickBot="1" x14ac:dyDescent="0.3">
      <c r="B148" s="45"/>
      <c r="C148" s="42" t="s">
        <v>219</v>
      </c>
      <c r="D148" s="50">
        <f>SUM(D143:D147)/5</f>
        <v>15550978200000</v>
      </c>
      <c r="E148" s="67">
        <f>SUM(E143:E147)/5</f>
        <v>30.363462845068376</v>
      </c>
    </row>
    <row r="149" spans="2:5" ht="14.4" thickBot="1" x14ac:dyDescent="0.3">
      <c r="B149" s="115" t="s">
        <v>185</v>
      </c>
      <c r="C149" s="43">
        <v>2018</v>
      </c>
      <c r="D149" s="52">
        <f>'ROA X3'!F148</f>
        <v>15222388589814</v>
      </c>
      <c r="E149" s="66">
        <f t="shared" si="1"/>
        <v>30.353788393618583</v>
      </c>
    </row>
    <row r="150" spans="2:5" ht="14.4" thickBot="1" x14ac:dyDescent="0.3">
      <c r="B150" s="116"/>
      <c r="C150" s="43">
        <v>2019</v>
      </c>
      <c r="D150" s="52">
        <f>'ROA X3'!F149</f>
        <v>16149121684330</v>
      </c>
      <c r="E150" s="66">
        <f>LN(D150:D155)</f>
        <v>30.412886779247096</v>
      </c>
    </row>
    <row r="151" spans="2:5" ht="14.4" thickBot="1" x14ac:dyDescent="0.3">
      <c r="B151" s="116"/>
      <c r="C151" s="43">
        <v>2020</v>
      </c>
      <c r="D151" s="52">
        <f>'ROA X3'!F150</f>
        <v>10557550739243</v>
      </c>
      <c r="E151" s="66">
        <f>LN(D151:D156)</f>
        <v>29.987862429733301</v>
      </c>
    </row>
    <row r="152" spans="2:5" ht="14.4" thickBot="1" x14ac:dyDescent="0.3">
      <c r="B152" s="116"/>
      <c r="C152" s="43">
        <v>2021</v>
      </c>
      <c r="D152" s="52">
        <f>'ROA X3'!F151</f>
        <v>6882077282159</v>
      </c>
      <c r="E152" s="66">
        <f>LN(D152:D157)</f>
        <v>29.559941652848313</v>
      </c>
    </row>
    <row r="153" spans="2:5" ht="14.4" thickBot="1" x14ac:dyDescent="0.3">
      <c r="B153" s="116"/>
      <c r="C153" s="43">
        <v>2022</v>
      </c>
      <c r="D153" s="52">
        <f>'ROA X3'!F152</f>
        <v>5963657951878</v>
      </c>
      <c r="E153" s="66">
        <f>LN(D153:D158)</f>
        <v>29.416705159053212</v>
      </c>
    </row>
    <row r="154" spans="2:5" ht="14.4" thickBot="1" x14ac:dyDescent="0.3">
      <c r="B154" s="45"/>
      <c r="C154" s="42" t="s">
        <v>219</v>
      </c>
      <c r="D154" s="50">
        <f>SUM(D149:D153)/5</f>
        <v>10954959249484.801</v>
      </c>
      <c r="E154" s="67">
        <f>SUM(E149:E153)/5</f>
        <v>29.946236882900099</v>
      </c>
    </row>
    <row r="155" spans="2:5" ht="14.4" thickBot="1" x14ac:dyDescent="0.3">
      <c r="B155" s="115" t="s">
        <v>186</v>
      </c>
      <c r="C155" s="43">
        <v>2018</v>
      </c>
      <c r="D155" s="52">
        <f>'ROA X3'!F154</f>
        <v>8881778299672</v>
      </c>
      <c r="E155" s="66">
        <f t="shared" si="1"/>
        <v>29.815022911855547</v>
      </c>
    </row>
    <row r="156" spans="2:5" ht="14.4" thickBot="1" x14ac:dyDescent="0.3">
      <c r="B156" s="116"/>
      <c r="C156" s="43">
        <v>2019</v>
      </c>
      <c r="D156" s="52">
        <f>'ROA X3'!F155</f>
        <v>10337895087207</v>
      </c>
      <c r="E156" s="66">
        <f t="shared" si="1"/>
        <v>29.966837394383056</v>
      </c>
    </row>
    <row r="157" spans="2:5" ht="14.4" thickBot="1" x14ac:dyDescent="0.3">
      <c r="B157" s="116"/>
      <c r="C157" s="43">
        <v>2020</v>
      </c>
      <c r="D157" s="52">
        <f>'ROA X3'!F156</f>
        <v>8509017299594</v>
      </c>
      <c r="E157" s="66">
        <f t="shared" si="1"/>
        <v>29.772147575887566</v>
      </c>
    </row>
    <row r="158" spans="2:5" ht="14.4" thickBot="1" x14ac:dyDescent="0.3">
      <c r="B158" s="116"/>
      <c r="C158" s="43">
        <v>2021</v>
      </c>
      <c r="D158" s="52">
        <f>'ROA X3'!F157</f>
        <v>9082511044439</v>
      </c>
      <c r="E158" s="66">
        <f t="shared" si="1"/>
        <v>29.83737181705413</v>
      </c>
    </row>
    <row r="159" spans="2:5" ht="14.4" thickBot="1" x14ac:dyDescent="0.3">
      <c r="B159" s="116"/>
      <c r="C159" s="43">
        <v>2022</v>
      </c>
      <c r="D159" s="52">
        <f>'ROA X3'!F158</f>
        <v>9447528704261</v>
      </c>
      <c r="E159" s="66">
        <f t="shared" ref="E159" si="2">LN(D159:D163)</f>
        <v>29.876774310457158</v>
      </c>
    </row>
    <row r="160" spans="2:5" ht="14.4" thickBot="1" x14ac:dyDescent="0.3">
      <c r="B160" s="45"/>
      <c r="C160" s="42" t="s">
        <v>219</v>
      </c>
      <c r="D160" s="50">
        <f>SUM(D155:D159)/5</f>
        <v>9251746087034.5996</v>
      </c>
      <c r="E160" s="67">
        <f>SUM(E155:E159)/5</f>
        <v>29.853630801927494</v>
      </c>
    </row>
    <row r="161" spans="4:4" ht="13.2" x14ac:dyDescent="0.25">
      <c r="D161" s="2"/>
    </row>
    <row r="162" spans="4:4" ht="13.2" x14ac:dyDescent="0.25">
      <c r="D162" s="2"/>
    </row>
    <row r="163" spans="4:4" ht="13.2" x14ac:dyDescent="0.25">
      <c r="D163" s="2"/>
    </row>
    <row r="164" spans="4:4" ht="13.2" x14ac:dyDescent="0.25">
      <c r="D164" s="2"/>
    </row>
    <row r="165" spans="4:4" ht="13.2" x14ac:dyDescent="0.25">
      <c r="D165" s="2"/>
    </row>
    <row r="166" spans="4:4" ht="13.2" x14ac:dyDescent="0.25">
      <c r="D166" s="2"/>
    </row>
    <row r="167" spans="4:4" ht="13.2" x14ac:dyDescent="0.25">
      <c r="D167" s="2"/>
    </row>
    <row r="168" spans="4:4" ht="13.2" x14ac:dyDescent="0.25">
      <c r="D168" s="2"/>
    </row>
    <row r="169" spans="4:4" ht="13.2" x14ac:dyDescent="0.25">
      <c r="D169" s="2"/>
    </row>
    <row r="170" spans="4:4" ht="13.2" x14ac:dyDescent="0.25">
      <c r="D170" s="2"/>
    </row>
    <row r="171" spans="4:4" ht="13.2" x14ac:dyDescent="0.25">
      <c r="D171" s="2"/>
    </row>
    <row r="172" spans="4:4" ht="13.2" x14ac:dyDescent="0.25">
      <c r="D172" s="2"/>
    </row>
    <row r="173" spans="4:4" ht="13.2" x14ac:dyDescent="0.25">
      <c r="D173" s="2"/>
    </row>
    <row r="174" spans="4:4" ht="13.2" x14ac:dyDescent="0.25">
      <c r="D174" s="2"/>
    </row>
    <row r="175" spans="4:4" ht="13.2" x14ac:dyDescent="0.25">
      <c r="D175" s="2"/>
    </row>
    <row r="176" spans="4:4" ht="13.2" x14ac:dyDescent="0.25">
      <c r="D176" s="2"/>
    </row>
    <row r="177" spans="4:4" ht="13.2" x14ac:dyDescent="0.25">
      <c r="D177" s="2"/>
    </row>
    <row r="178" spans="4:4" ht="13.2" x14ac:dyDescent="0.25">
      <c r="D178" s="2"/>
    </row>
    <row r="179" spans="4:4" ht="13.2" x14ac:dyDescent="0.25">
      <c r="D179" s="2"/>
    </row>
    <row r="180" spans="4:4" ht="13.2" x14ac:dyDescent="0.25">
      <c r="D180" s="2"/>
    </row>
    <row r="181" spans="4:4" ht="13.2" x14ac:dyDescent="0.25">
      <c r="D181" s="2"/>
    </row>
    <row r="182" spans="4:4" ht="13.2" x14ac:dyDescent="0.25">
      <c r="D182" s="2"/>
    </row>
    <row r="183" spans="4:4" ht="13.2" x14ac:dyDescent="0.25">
      <c r="D183" s="2"/>
    </row>
    <row r="184" spans="4:4" ht="13.2" x14ac:dyDescent="0.25">
      <c r="D184" s="2"/>
    </row>
    <row r="185" spans="4:4" ht="13.2" x14ac:dyDescent="0.25">
      <c r="D185" s="2"/>
    </row>
    <row r="186" spans="4:4" ht="13.2" x14ac:dyDescent="0.25">
      <c r="D186" s="2"/>
    </row>
    <row r="187" spans="4:4" ht="13.2" x14ac:dyDescent="0.25">
      <c r="D187" s="2"/>
    </row>
    <row r="188" spans="4:4" ht="13.2" x14ac:dyDescent="0.25">
      <c r="D188" s="2"/>
    </row>
    <row r="189" spans="4:4" ht="13.2" x14ac:dyDescent="0.25">
      <c r="D189" s="2"/>
    </row>
    <row r="190" spans="4:4" ht="13.2" x14ac:dyDescent="0.25">
      <c r="D190" s="2"/>
    </row>
    <row r="191" spans="4:4" ht="13.2" x14ac:dyDescent="0.25">
      <c r="D191" s="2"/>
    </row>
    <row r="192" spans="4:4" ht="13.2" x14ac:dyDescent="0.25">
      <c r="D192" s="2"/>
    </row>
    <row r="193" spans="4:4" ht="13.2" x14ac:dyDescent="0.25">
      <c r="D193" s="2"/>
    </row>
    <row r="194" spans="4:4" ht="13.2" x14ac:dyDescent="0.25">
      <c r="D194" s="2"/>
    </row>
    <row r="195" spans="4:4" ht="13.2" x14ac:dyDescent="0.25">
      <c r="D195" s="2"/>
    </row>
    <row r="196" spans="4:4" ht="13.2" x14ac:dyDescent="0.25">
      <c r="D196" s="2"/>
    </row>
    <row r="197" spans="4:4" ht="13.2" x14ac:dyDescent="0.25">
      <c r="D197" s="2"/>
    </row>
    <row r="198" spans="4:4" ht="13.2" x14ac:dyDescent="0.25">
      <c r="D198" s="2"/>
    </row>
    <row r="199" spans="4:4" ht="13.2" x14ac:dyDescent="0.25">
      <c r="D199" s="2"/>
    </row>
    <row r="200" spans="4:4" ht="13.2" x14ac:dyDescent="0.25">
      <c r="D200" s="2"/>
    </row>
    <row r="201" spans="4:4" ht="13.2" x14ac:dyDescent="0.25">
      <c r="D201" s="2"/>
    </row>
    <row r="202" spans="4:4" ht="13.2" x14ac:dyDescent="0.25">
      <c r="D202" s="2"/>
    </row>
    <row r="203" spans="4:4" ht="13.2" x14ac:dyDescent="0.25">
      <c r="D203" s="2"/>
    </row>
    <row r="204" spans="4:4" ht="13.2" x14ac:dyDescent="0.25">
      <c r="D204" s="2"/>
    </row>
    <row r="205" spans="4:4" ht="13.2" x14ac:dyDescent="0.25">
      <c r="D205" s="2"/>
    </row>
    <row r="206" spans="4:4" ht="13.2" x14ac:dyDescent="0.25">
      <c r="D206" s="2"/>
    </row>
    <row r="207" spans="4:4" ht="13.2" x14ac:dyDescent="0.25">
      <c r="D207" s="2"/>
    </row>
    <row r="208" spans="4:4" ht="13.2" x14ac:dyDescent="0.25">
      <c r="D208" s="2"/>
    </row>
    <row r="209" spans="4:4" ht="13.2" x14ac:dyDescent="0.25">
      <c r="D209" s="2"/>
    </row>
    <row r="210" spans="4:4" ht="13.2" x14ac:dyDescent="0.25">
      <c r="D210" s="2"/>
    </row>
    <row r="211" spans="4:4" ht="13.2" x14ac:dyDescent="0.25">
      <c r="D211" s="2"/>
    </row>
    <row r="212" spans="4:4" ht="13.2" x14ac:dyDescent="0.25">
      <c r="D212" s="2"/>
    </row>
    <row r="213" spans="4:4" ht="13.2" x14ac:dyDescent="0.25">
      <c r="D213" s="2"/>
    </row>
    <row r="214" spans="4:4" ht="13.2" x14ac:dyDescent="0.25">
      <c r="D214" s="2"/>
    </row>
    <row r="215" spans="4:4" ht="13.2" x14ac:dyDescent="0.25">
      <c r="D215" s="2"/>
    </row>
    <row r="216" spans="4:4" ht="13.2" x14ac:dyDescent="0.25">
      <c r="D216" s="2"/>
    </row>
    <row r="217" spans="4:4" ht="13.2" x14ac:dyDescent="0.25">
      <c r="D217" s="2"/>
    </row>
    <row r="218" spans="4:4" ht="13.2" x14ac:dyDescent="0.25">
      <c r="D218" s="2"/>
    </row>
    <row r="219" spans="4:4" ht="13.2" x14ac:dyDescent="0.25">
      <c r="D219" s="2"/>
    </row>
    <row r="220" spans="4:4" ht="13.2" x14ac:dyDescent="0.25">
      <c r="D220" s="2"/>
    </row>
    <row r="221" spans="4:4" ht="13.2" x14ac:dyDescent="0.25">
      <c r="D221" s="2"/>
    </row>
    <row r="222" spans="4:4" ht="13.2" x14ac:dyDescent="0.25">
      <c r="D222" s="2"/>
    </row>
    <row r="223" spans="4:4" ht="13.2" x14ac:dyDescent="0.25">
      <c r="D223" s="2"/>
    </row>
    <row r="224" spans="4:4" ht="13.2" x14ac:dyDescent="0.25">
      <c r="D224" s="2"/>
    </row>
    <row r="225" spans="4:4" ht="13.2" x14ac:dyDescent="0.25">
      <c r="D225" s="2"/>
    </row>
    <row r="226" spans="4:4" ht="13.2" x14ac:dyDescent="0.25">
      <c r="D226" s="2"/>
    </row>
    <row r="227" spans="4:4" ht="13.2" x14ac:dyDescent="0.25">
      <c r="D227" s="2"/>
    </row>
    <row r="228" spans="4:4" ht="13.2" x14ac:dyDescent="0.25">
      <c r="D228" s="2"/>
    </row>
    <row r="229" spans="4:4" ht="13.2" x14ac:dyDescent="0.25">
      <c r="D229" s="2"/>
    </row>
    <row r="230" spans="4:4" ht="13.2" x14ac:dyDescent="0.25">
      <c r="D230" s="2"/>
    </row>
    <row r="231" spans="4:4" ht="13.2" x14ac:dyDescent="0.25">
      <c r="D231" s="2"/>
    </row>
    <row r="232" spans="4:4" ht="13.2" x14ac:dyDescent="0.25">
      <c r="D232" s="2"/>
    </row>
    <row r="233" spans="4:4" ht="13.2" x14ac:dyDescent="0.25">
      <c r="D233" s="2"/>
    </row>
    <row r="234" spans="4:4" ht="13.2" x14ac:dyDescent="0.25">
      <c r="D234" s="2"/>
    </row>
    <row r="235" spans="4:4" ht="13.2" x14ac:dyDescent="0.25">
      <c r="D235" s="2"/>
    </row>
    <row r="236" spans="4:4" ht="13.2" x14ac:dyDescent="0.25">
      <c r="D236" s="2"/>
    </row>
    <row r="237" spans="4:4" ht="13.2" x14ac:dyDescent="0.25">
      <c r="D237" s="2"/>
    </row>
    <row r="238" spans="4:4" ht="13.2" x14ac:dyDescent="0.25">
      <c r="D238" s="2"/>
    </row>
    <row r="239" spans="4:4" ht="13.2" x14ac:dyDescent="0.25">
      <c r="D239" s="2"/>
    </row>
    <row r="240" spans="4:4" ht="13.2" x14ac:dyDescent="0.25">
      <c r="D240" s="2"/>
    </row>
    <row r="241" spans="4:4" ht="13.2" x14ac:dyDescent="0.25">
      <c r="D241" s="2"/>
    </row>
    <row r="242" spans="4:4" ht="13.2" x14ac:dyDescent="0.25">
      <c r="D242" s="2"/>
    </row>
    <row r="243" spans="4:4" ht="13.2" x14ac:dyDescent="0.25">
      <c r="D243" s="2"/>
    </row>
    <row r="244" spans="4:4" ht="13.2" x14ac:dyDescent="0.25">
      <c r="D244" s="2"/>
    </row>
    <row r="245" spans="4:4" ht="13.2" x14ac:dyDescent="0.25">
      <c r="D245" s="2"/>
    </row>
    <row r="246" spans="4:4" ht="13.2" x14ac:dyDescent="0.25">
      <c r="D246" s="2"/>
    </row>
    <row r="247" spans="4:4" ht="13.2" x14ac:dyDescent="0.25">
      <c r="D247" s="2"/>
    </row>
    <row r="248" spans="4:4" ht="13.2" x14ac:dyDescent="0.25">
      <c r="D248" s="2"/>
    </row>
    <row r="249" spans="4:4" ht="13.2" x14ac:dyDescent="0.25">
      <c r="D249" s="2"/>
    </row>
    <row r="250" spans="4:4" ht="13.2" x14ac:dyDescent="0.25">
      <c r="D250" s="2"/>
    </row>
    <row r="251" spans="4:4" ht="13.2" x14ac:dyDescent="0.25">
      <c r="D251" s="2"/>
    </row>
    <row r="252" spans="4:4" ht="13.2" x14ac:dyDescent="0.25">
      <c r="D252" s="2"/>
    </row>
    <row r="253" spans="4:4" ht="13.2" x14ac:dyDescent="0.25">
      <c r="D253" s="2"/>
    </row>
    <row r="254" spans="4:4" ht="13.2" x14ac:dyDescent="0.25">
      <c r="D254" s="2"/>
    </row>
    <row r="255" spans="4:4" ht="13.2" x14ac:dyDescent="0.25">
      <c r="D255" s="2"/>
    </row>
    <row r="256" spans="4:4" ht="13.2" x14ac:dyDescent="0.25">
      <c r="D256" s="2"/>
    </row>
    <row r="257" spans="4:4" ht="13.2" x14ac:dyDescent="0.25">
      <c r="D257" s="2"/>
    </row>
    <row r="258" spans="4:4" ht="13.2" x14ac:dyDescent="0.25">
      <c r="D258" s="2"/>
    </row>
    <row r="259" spans="4:4" ht="13.2" x14ac:dyDescent="0.25">
      <c r="D259" s="2"/>
    </row>
    <row r="260" spans="4:4" ht="13.2" x14ac:dyDescent="0.25">
      <c r="D260" s="2"/>
    </row>
    <row r="261" spans="4:4" ht="13.2" x14ac:dyDescent="0.25">
      <c r="D261" s="2"/>
    </row>
    <row r="262" spans="4:4" ht="13.2" x14ac:dyDescent="0.25">
      <c r="D262" s="2"/>
    </row>
    <row r="263" spans="4:4" ht="13.2" x14ac:dyDescent="0.25">
      <c r="D263" s="2"/>
    </row>
    <row r="264" spans="4:4" ht="13.2" x14ac:dyDescent="0.25">
      <c r="D264" s="2"/>
    </row>
    <row r="265" spans="4:4" ht="13.2" x14ac:dyDescent="0.25">
      <c r="D265" s="2"/>
    </row>
    <row r="266" spans="4:4" ht="13.2" x14ac:dyDescent="0.25">
      <c r="D266" s="2"/>
    </row>
    <row r="267" spans="4:4" ht="13.2" x14ac:dyDescent="0.25">
      <c r="D267" s="2"/>
    </row>
    <row r="268" spans="4:4" ht="13.2" x14ac:dyDescent="0.25">
      <c r="D268" s="2"/>
    </row>
    <row r="269" spans="4:4" ht="13.2" x14ac:dyDescent="0.25">
      <c r="D269" s="2"/>
    </row>
    <row r="270" spans="4:4" ht="13.2" x14ac:dyDescent="0.25">
      <c r="D270" s="2"/>
    </row>
    <row r="271" spans="4:4" ht="13.2" x14ac:dyDescent="0.25">
      <c r="D271" s="2"/>
    </row>
    <row r="272" spans="4:4" ht="13.2" x14ac:dyDescent="0.25">
      <c r="D272" s="2"/>
    </row>
    <row r="273" spans="4:4" ht="13.2" x14ac:dyDescent="0.25">
      <c r="D273" s="2"/>
    </row>
    <row r="274" spans="4:4" ht="13.2" x14ac:dyDescent="0.25">
      <c r="D274" s="2"/>
    </row>
    <row r="275" spans="4:4" ht="13.2" x14ac:dyDescent="0.25">
      <c r="D275" s="2"/>
    </row>
    <row r="276" spans="4:4" ht="13.2" x14ac:dyDescent="0.25">
      <c r="D276" s="2"/>
    </row>
    <row r="277" spans="4:4" ht="13.2" x14ac:dyDescent="0.25">
      <c r="D277" s="2"/>
    </row>
    <row r="278" spans="4:4" ht="13.2" x14ac:dyDescent="0.25">
      <c r="D278" s="2"/>
    </row>
    <row r="279" spans="4:4" ht="13.2" x14ac:dyDescent="0.25">
      <c r="D279" s="2"/>
    </row>
    <row r="280" spans="4:4" ht="13.2" x14ac:dyDescent="0.25">
      <c r="D280" s="2"/>
    </row>
    <row r="281" spans="4:4" ht="13.2" x14ac:dyDescent="0.25">
      <c r="D281" s="2"/>
    </row>
    <row r="282" spans="4:4" ht="13.2" x14ac:dyDescent="0.25">
      <c r="D282" s="2"/>
    </row>
    <row r="283" spans="4:4" ht="13.2" x14ac:dyDescent="0.25">
      <c r="D283" s="2"/>
    </row>
    <row r="284" spans="4:4" ht="13.2" x14ac:dyDescent="0.25">
      <c r="D284" s="2"/>
    </row>
    <row r="285" spans="4:4" ht="13.2" x14ac:dyDescent="0.25">
      <c r="D285" s="2"/>
    </row>
    <row r="286" spans="4:4" ht="13.2" x14ac:dyDescent="0.25">
      <c r="D286" s="2"/>
    </row>
    <row r="287" spans="4:4" ht="13.2" x14ac:dyDescent="0.25">
      <c r="D287" s="2"/>
    </row>
    <row r="288" spans="4:4" ht="13.2" x14ac:dyDescent="0.25">
      <c r="D288" s="2"/>
    </row>
    <row r="289" spans="4:4" ht="13.2" x14ac:dyDescent="0.25">
      <c r="D289" s="2"/>
    </row>
    <row r="290" spans="4:4" ht="13.2" x14ac:dyDescent="0.25">
      <c r="D290" s="2"/>
    </row>
    <row r="291" spans="4:4" ht="13.2" x14ac:dyDescent="0.25">
      <c r="D291" s="2"/>
    </row>
    <row r="292" spans="4:4" ht="13.2" x14ac:dyDescent="0.25">
      <c r="D292" s="2"/>
    </row>
    <row r="293" spans="4:4" ht="13.2" x14ac:dyDescent="0.25">
      <c r="D293" s="2"/>
    </row>
    <row r="294" spans="4:4" ht="13.2" x14ac:dyDescent="0.25">
      <c r="D294" s="2"/>
    </row>
    <row r="295" spans="4:4" ht="13.2" x14ac:dyDescent="0.25">
      <c r="D295" s="2"/>
    </row>
    <row r="296" spans="4:4" ht="13.2" x14ac:dyDescent="0.25">
      <c r="D296" s="2"/>
    </row>
    <row r="297" spans="4:4" ht="13.2" x14ac:dyDescent="0.25">
      <c r="D297" s="2"/>
    </row>
    <row r="298" spans="4:4" ht="13.2" x14ac:dyDescent="0.25">
      <c r="D298" s="2"/>
    </row>
    <row r="299" spans="4:4" ht="13.2" x14ac:dyDescent="0.25">
      <c r="D299" s="2"/>
    </row>
    <row r="300" spans="4:4" ht="13.2" x14ac:dyDescent="0.25">
      <c r="D300" s="2"/>
    </row>
    <row r="301" spans="4:4" ht="13.2" x14ac:dyDescent="0.25">
      <c r="D301" s="2"/>
    </row>
    <row r="302" spans="4:4" ht="13.2" x14ac:dyDescent="0.25">
      <c r="D302" s="2"/>
    </row>
    <row r="303" spans="4:4" ht="13.2" x14ac:dyDescent="0.25">
      <c r="D303" s="2"/>
    </row>
    <row r="304" spans="4:4" ht="13.2" x14ac:dyDescent="0.25">
      <c r="D304" s="2"/>
    </row>
    <row r="305" spans="4:4" ht="13.2" x14ac:dyDescent="0.25">
      <c r="D305" s="2"/>
    </row>
    <row r="306" spans="4:4" ht="13.2" x14ac:dyDescent="0.25">
      <c r="D306" s="2"/>
    </row>
    <row r="307" spans="4:4" ht="13.2" x14ac:dyDescent="0.25">
      <c r="D307" s="2"/>
    </row>
    <row r="308" spans="4:4" ht="13.2" x14ac:dyDescent="0.25">
      <c r="D308" s="2"/>
    </row>
    <row r="309" spans="4:4" ht="13.2" x14ac:dyDescent="0.25">
      <c r="D309" s="2"/>
    </row>
    <row r="310" spans="4:4" ht="13.2" x14ac:dyDescent="0.25">
      <c r="D310" s="2"/>
    </row>
    <row r="311" spans="4:4" ht="13.2" x14ac:dyDescent="0.25">
      <c r="D311" s="2"/>
    </row>
    <row r="312" spans="4:4" ht="13.2" x14ac:dyDescent="0.25">
      <c r="D312" s="2"/>
    </row>
    <row r="313" spans="4:4" ht="13.2" x14ac:dyDescent="0.25">
      <c r="D313" s="2"/>
    </row>
    <row r="314" spans="4:4" ht="13.2" x14ac:dyDescent="0.25">
      <c r="D314" s="2"/>
    </row>
    <row r="315" spans="4:4" ht="13.2" x14ac:dyDescent="0.25">
      <c r="D315" s="2"/>
    </row>
    <row r="316" spans="4:4" ht="13.2" x14ac:dyDescent="0.25">
      <c r="D316" s="2"/>
    </row>
    <row r="317" spans="4:4" ht="13.2" x14ac:dyDescent="0.25">
      <c r="D317" s="2"/>
    </row>
    <row r="318" spans="4:4" ht="13.2" x14ac:dyDescent="0.25">
      <c r="D318" s="2"/>
    </row>
    <row r="319" spans="4:4" ht="13.2" x14ac:dyDescent="0.25">
      <c r="D319" s="2"/>
    </row>
    <row r="320" spans="4:4" ht="13.2" x14ac:dyDescent="0.25">
      <c r="D320" s="2"/>
    </row>
    <row r="321" spans="4:4" ht="13.2" x14ac:dyDescent="0.25">
      <c r="D321" s="2"/>
    </row>
    <row r="322" spans="4:4" ht="13.2" x14ac:dyDescent="0.25">
      <c r="D322" s="2"/>
    </row>
    <row r="323" spans="4:4" ht="13.2" x14ac:dyDescent="0.25">
      <c r="D323" s="2"/>
    </row>
    <row r="324" spans="4:4" ht="13.2" x14ac:dyDescent="0.25">
      <c r="D324" s="2"/>
    </row>
    <row r="325" spans="4:4" ht="13.2" x14ac:dyDescent="0.25">
      <c r="D325" s="2"/>
    </row>
    <row r="326" spans="4:4" ht="13.2" x14ac:dyDescent="0.25">
      <c r="D326" s="2"/>
    </row>
    <row r="327" spans="4:4" ht="13.2" x14ac:dyDescent="0.25">
      <c r="D327" s="2"/>
    </row>
    <row r="328" spans="4:4" ht="13.2" x14ac:dyDescent="0.25">
      <c r="D328" s="2"/>
    </row>
    <row r="329" spans="4:4" ht="13.2" x14ac:dyDescent="0.25">
      <c r="D329" s="2"/>
    </row>
    <row r="330" spans="4:4" ht="13.2" x14ac:dyDescent="0.25">
      <c r="D330" s="2"/>
    </row>
    <row r="331" spans="4:4" ht="13.2" x14ac:dyDescent="0.25">
      <c r="D331" s="2"/>
    </row>
    <row r="332" spans="4:4" ht="13.2" x14ac:dyDescent="0.25">
      <c r="D332" s="2"/>
    </row>
    <row r="333" spans="4:4" ht="13.2" x14ac:dyDescent="0.25">
      <c r="D333" s="2"/>
    </row>
    <row r="334" spans="4:4" ht="13.2" x14ac:dyDescent="0.25">
      <c r="D334" s="2"/>
    </row>
    <row r="335" spans="4:4" ht="13.2" x14ac:dyDescent="0.25">
      <c r="D335" s="2"/>
    </row>
    <row r="336" spans="4:4" ht="13.2" x14ac:dyDescent="0.25">
      <c r="D336" s="2"/>
    </row>
    <row r="337" spans="4:4" ht="13.2" x14ac:dyDescent="0.25">
      <c r="D337" s="2"/>
    </row>
    <row r="338" spans="4:4" ht="13.2" x14ac:dyDescent="0.25">
      <c r="D338" s="2"/>
    </row>
    <row r="339" spans="4:4" ht="13.2" x14ac:dyDescent="0.25">
      <c r="D339" s="2"/>
    </row>
    <row r="340" spans="4:4" ht="13.2" x14ac:dyDescent="0.25">
      <c r="D340" s="2"/>
    </row>
    <row r="341" spans="4:4" ht="13.2" x14ac:dyDescent="0.25">
      <c r="D341" s="2"/>
    </row>
    <row r="342" spans="4:4" ht="13.2" x14ac:dyDescent="0.25">
      <c r="D342" s="2"/>
    </row>
    <row r="343" spans="4:4" ht="13.2" x14ac:dyDescent="0.25">
      <c r="D343" s="2"/>
    </row>
    <row r="344" spans="4:4" ht="13.2" x14ac:dyDescent="0.25">
      <c r="D344" s="2"/>
    </row>
    <row r="345" spans="4:4" ht="13.2" x14ac:dyDescent="0.25">
      <c r="D345" s="2"/>
    </row>
    <row r="346" spans="4:4" ht="13.2" x14ac:dyDescent="0.25">
      <c r="D346" s="2"/>
    </row>
    <row r="347" spans="4:4" ht="13.2" x14ac:dyDescent="0.25">
      <c r="D347" s="2"/>
    </row>
    <row r="348" spans="4:4" ht="13.2" x14ac:dyDescent="0.25">
      <c r="D348" s="2"/>
    </row>
    <row r="349" spans="4:4" ht="13.2" x14ac:dyDescent="0.25">
      <c r="D349" s="2"/>
    </row>
    <row r="350" spans="4:4" ht="13.2" x14ac:dyDescent="0.25">
      <c r="D350" s="2"/>
    </row>
    <row r="351" spans="4:4" ht="13.2" x14ac:dyDescent="0.25">
      <c r="D351" s="2"/>
    </row>
    <row r="352" spans="4:4" ht="13.2" x14ac:dyDescent="0.25">
      <c r="D352" s="2"/>
    </row>
    <row r="353" spans="4:4" ht="13.2" x14ac:dyDescent="0.25">
      <c r="D353" s="2"/>
    </row>
    <row r="354" spans="4:4" ht="13.2" x14ac:dyDescent="0.25">
      <c r="D354" s="2"/>
    </row>
    <row r="355" spans="4:4" ht="13.2" x14ac:dyDescent="0.25">
      <c r="D355" s="2"/>
    </row>
    <row r="356" spans="4:4" ht="13.2" x14ac:dyDescent="0.25">
      <c r="D356" s="2"/>
    </row>
    <row r="357" spans="4:4" ht="13.2" x14ac:dyDescent="0.25">
      <c r="D357" s="2"/>
    </row>
    <row r="358" spans="4:4" ht="13.2" x14ac:dyDescent="0.25">
      <c r="D358" s="2"/>
    </row>
    <row r="359" spans="4:4" ht="13.2" x14ac:dyDescent="0.25">
      <c r="D359" s="2"/>
    </row>
    <row r="360" spans="4:4" ht="13.2" x14ac:dyDescent="0.25">
      <c r="D360" s="2"/>
    </row>
    <row r="361" spans="4:4" ht="13.2" x14ac:dyDescent="0.25">
      <c r="D361" s="2"/>
    </row>
    <row r="362" spans="4:4" ht="13.2" x14ac:dyDescent="0.25">
      <c r="D362" s="2"/>
    </row>
    <row r="363" spans="4:4" ht="13.2" x14ac:dyDescent="0.25">
      <c r="D363" s="2"/>
    </row>
    <row r="364" spans="4:4" ht="13.2" x14ac:dyDescent="0.25">
      <c r="D364" s="2"/>
    </row>
    <row r="365" spans="4:4" ht="13.2" x14ac:dyDescent="0.25">
      <c r="D365" s="2"/>
    </row>
    <row r="366" spans="4:4" ht="13.2" x14ac:dyDescent="0.25">
      <c r="D366" s="2"/>
    </row>
    <row r="367" spans="4:4" ht="13.2" x14ac:dyDescent="0.25">
      <c r="D367" s="2"/>
    </row>
    <row r="368" spans="4:4" ht="13.2" x14ac:dyDescent="0.25">
      <c r="D368" s="2"/>
    </row>
    <row r="369" spans="4:4" ht="13.2" x14ac:dyDescent="0.25">
      <c r="D369" s="2"/>
    </row>
    <row r="370" spans="4:4" ht="13.2" x14ac:dyDescent="0.25">
      <c r="D370" s="2"/>
    </row>
    <row r="371" spans="4:4" ht="13.2" x14ac:dyDescent="0.25">
      <c r="D371" s="2"/>
    </row>
    <row r="372" spans="4:4" ht="13.2" x14ac:dyDescent="0.25">
      <c r="D372" s="2"/>
    </row>
    <row r="373" spans="4:4" ht="13.2" x14ac:dyDescent="0.25">
      <c r="D373" s="2"/>
    </row>
    <row r="374" spans="4:4" ht="13.2" x14ac:dyDescent="0.25">
      <c r="D374" s="2"/>
    </row>
    <row r="375" spans="4:4" ht="13.2" x14ac:dyDescent="0.25">
      <c r="D375" s="2"/>
    </row>
    <row r="376" spans="4:4" ht="13.2" x14ac:dyDescent="0.25">
      <c r="D376" s="2"/>
    </row>
    <row r="377" spans="4:4" ht="13.2" x14ac:dyDescent="0.25">
      <c r="D377" s="2"/>
    </row>
    <row r="378" spans="4:4" ht="13.2" x14ac:dyDescent="0.25">
      <c r="D378" s="2"/>
    </row>
    <row r="379" spans="4:4" ht="13.2" x14ac:dyDescent="0.25">
      <c r="D379" s="2"/>
    </row>
    <row r="380" spans="4:4" ht="13.2" x14ac:dyDescent="0.25">
      <c r="D380" s="2"/>
    </row>
    <row r="381" spans="4:4" ht="13.2" x14ac:dyDescent="0.25">
      <c r="D381" s="2"/>
    </row>
    <row r="382" spans="4:4" ht="13.2" x14ac:dyDescent="0.25">
      <c r="D382" s="2"/>
    </row>
    <row r="383" spans="4:4" ht="13.2" x14ac:dyDescent="0.25">
      <c r="D383" s="2"/>
    </row>
    <row r="384" spans="4:4" ht="13.2" x14ac:dyDescent="0.25">
      <c r="D384" s="2"/>
    </row>
    <row r="385" spans="4:4" ht="13.2" x14ac:dyDescent="0.25">
      <c r="D385" s="2"/>
    </row>
    <row r="386" spans="4:4" ht="13.2" x14ac:dyDescent="0.25">
      <c r="D386" s="2"/>
    </row>
    <row r="387" spans="4:4" ht="13.2" x14ac:dyDescent="0.25">
      <c r="D387" s="2"/>
    </row>
    <row r="388" spans="4:4" ht="13.2" x14ac:dyDescent="0.25">
      <c r="D388" s="2"/>
    </row>
    <row r="389" spans="4:4" ht="13.2" x14ac:dyDescent="0.25">
      <c r="D389" s="2"/>
    </row>
    <row r="390" spans="4:4" ht="13.2" x14ac:dyDescent="0.25">
      <c r="D390" s="2"/>
    </row>
    <row r="391" spans="4:4" ht="13.2" x14ac:dyDescent="0.25">
      <c r="D391" s="2"/>
    </row>
    <row r="392" spans="4:4" ht="13.2" x14ac:dyDescent="0.25">
      <c r="D392" s="2"/>
    </row>
    <row r="393" spans="4:4" ht="13.2" x14ac:dyDescent="0.25">
      <c r="D393" s="2"/>
    </row>
    <row r="394" spans="4:4" ht="13.2" x14ac:dyDescent="0.25">
      <c r="D394" s="2"/>
    </row>
    <row r="395" spans="4:4" ht="13.2" x14ac:dyDescent="0.25">
      <c r="D395" s="2"/>
    </row>
    <row r="396" spans="4:4" ht="13.2" x14ac:dyDescent="0.25">
      <c r="D396" s="2"/>
    </row>
    <row r="397" spans="4:4" ht="13.2" x14ac:dyDescent="0.25">
      <c r="D397" s="2"/>
    </row>
    <row r="398" spans="4:4" ht="13.2" x14ac:dyDescent="0.25">
      <c r="D398" s="2"/>
    </row>
    <row r="399" spans="4:4" ht="13.2" x14ac:dyDescent="0.25">
      <c r="D399" s="2"/>
    </row>
    <row r="400" spans="4:4" ht="13.2" x14ac:dyDescent="0.25">
      <c r="D400" s="2"/>
    </row>
    <row r="401" spans="4:4" ht="13.2" x14ac:dyDescent="0.25">
      <c r="D401" s="2"/>
    </row>
    <row r="402" spans="4:4" ht="13.2" x14ac:dyDescent="0.25">
      <c r="D402" s="2"/>
    </row>
    <row r="403" spans="4:4" ht="13.2" x14ac:dyDescent="0.25">
      <c r="D403" s="2"/>
    </row>
    <row r="404" spans="4:4" ht="13.2" x14ac:dyDescent="0.25">
      <c r="D404" s="2"/>
    </row>
    <row r="405" spans="4:4" ht="13.2" x14ac:dyDescent="0.25">
      <c r="D405" s="2"/>
    </row>
    <row r="406" spans="4:4" ht="13.2" x14ac:dyDescent="0.25">
      <c r="D406" s="2"/>
    </row>
    <row r="407" spans="4:4" ht="13.2" x14ac:dyDescent="0.25">
      <c r="D407" s="2"/>
    </row>
    <row r="408" spans="4:4" ht="13.2" x14ac:dyDescent="0.25">
      <c r="D408" s="2"/>
    </row>
    <row r="409" spans="4:4" ht="13.2" x14ac:dyDescent="0.25">
      <c r="D409" s="2"/>
    </row>
    <row r="410" spans="4:4" ht="13.2" x14ac:dyDescent="0.25">
      <c r="D410" s="2"/>
    </row>
    <row r="411" spans="4:4" ht="13.2" x14ac:dyDescent="0.25">
      <c r="D411" s="2"/>
    </row>
    <row r="412" spans="4:4" ht="13.2" x14ac:dyDescent="0.25">
      <c r="D412" s="2"/>
    </row>
    <row r="413" spans="4:4" ht="13.2" x14ac:dyDescent="0.25">
      <c r="D413" s="2"/>
    </row>
    <row r="414" spans="4:4" ht="13.2" x14ac:dyDescent="0.25">
      <c r="D414" s="2"/>
    </row>
    <row r="415" spans="4:4" ht="13.2" x14ac:dyDescent="0.25">
      <c r="D415" s="2"/>
    </row>
    <row r="416" spans="4:4" ht="13.2" x14ac:dyDescent="0.25">
      <c r="D416" s="2"/>
    </row>
    <row r="417" spans="4:4" ht="13.2" x14ac:dyDescent="0.25">
      <c r="D417" s="2"/>
    </row>
    <row r="418" spans="4:4" ht="13.2" x14ac:dyDescent="0.25">
      <c r="D418" s="2"/>
    </row>
    <row r="419" spans="4:4" ht="13.2" x14ac:dyDescent="0.25">
      <c r="D419" s="2"/>
    </row>
    <row r="420" spans="4:4" ht="13.2" x14ac:dyDescent="0.25">
      <c r="D420" s="2"/>
    </row>
    <row r="421" spans="4:4" ht="13.2" x14ac:dyDescent="0.25">
      <c r="D421" s="2"/>
    </row>
    <row r="422" spans="4:4" ht="13.2" x14ac:dyDescent="0.25">
      <c r="D422" s="2"/>
    </row>
    <row r="423" spans="4:4" ht="13.2" x14ac:dyDescent="0.25">
      <c r="D423" s="2"/>
    </row>
    <row r="424" spans="4:4" ht="13.2" x14ac:dyDescent="0.25">
      <c r="D424" s="2"/>
    </row>
    <row r="425" spans="4:4" ht="13.2" x14ac:dyDescent="0.25">
      <c r="D425" s="2"/>
    </row>
    <row r="426" spans="4:4" ht="13.2" x14ac:dyDescent="0.25">
      <c r="D426" s="2"/>
    </row>
    <row r="427" spans="4:4" ht="13.2" x14ac:dyDescent="0.25">
      <c r="D427" s="2"/>
    </row>
    <row r="428" spans="4:4" ht="13.2" x14ac:dyDescent="0.25">
      <c r="D428" s="2"/>
    </row>
    <row r="429" spans="4:4" ht="13.2" x14ac:dyDescent="0.25">
      <c r="D429" s="2"/>
    </row>
    <row r="430" spans="4:4" ht="13.2" x14ac:dyDescent="0.25">
      <c r="D430" s="2"/>
    </row>
    <row r="431" spans="4:4" ht="13.2" x14ac:dyDescent="0.25">
      <c r="D431" s="2"/>
    </row>
    <row r="432" spans="4:4" ht="13.2" x14ac:dyDescent="0.25">
      <c r="D432" s="2"/>
    </row>
    <row r="433" spans="4:4" ht="13.2" x14ac:dyDescent="0.25">
      <c r="D433" s="2"/>
    </row>
    <row r="434" spans="4:4" ht="13.2" x14ac:dyDescent="0.25">
      <c r="D434" s="2"/>
    </row>
    <row r="435" spans="4:4" ht="13.2" x14ac:dyDescent="0.25">
      <c r="D435" s="2"/>
    </row>
    <row r="436" spans="4:4" ht="13.2" x14ac:dyDescent="0.25">
      <c r="D436" s="2"/>
    </row>
    <row r="437" spans="4:4" ht="13.2" x14ac:dyDescent="0.25">
      <c r="D437" s="2"/>
    </row>
    <row r="438" spans="4:4" ht="13.2" x14ac:dyDescent="0.25">
      <c r="D438" s="2"/>
    </row>
    <row r="439" spans="4:4" ht="13.2" x14ac:dyDescent="0.25">
      <c r="D439" s="2"/>
    </row>
    <row r="440" spans="4:4" ht="13.2" x14ac:dyDescent="0.25">
      <c r="D440" s="2"/>
    </row>
    <row r="441" spans="4:4" ht="13.2" x14ac:dyDescent="0.25">
      <c r="D441" s="2"/>
    </row>
    <row r="442" spans="4:4" ht="13.2" x14ac:dyDescent="0.25">
      <c r="D442" s="2"/>
    </row>
    <row r="443" spans="4:4" ht="13.2" x14ac:dyDescent="0.25">
      <c r="D443" s="2"/>
    </row>
    <row r="444" spans="4:4" ht="13.2" x14ac:dyDescent="0.25">
      <c r="D444" s="2"/>
    </row>
    <row r="445" spans="4:4" ht="13.2" x14ac:dyDescent="0.25">
      <c r="D445" s="2"/>
    </row>
    <row r="446" spans="4:4" ht="13.2" x14ac:dyDescent="0.25">
      <c r="D446" s="2"/>
    </row>
    <row r="447" spans="4:4" ht="13.2" x14ac:dyDescent="0.25">
      <c r="D447" s="2"/>
    </row>
    <row r="448" spans="4:4" ht="13.2" x14ac:dyDescent="0.25">
      <c r="D448" s="2"/>
    </row>
    <row r="449" spans="4:4" ht="13.2" x14ac:dyDescent="0.25">
      <c r="D449" s="2"/>
    </row>
    <row r="450" spans="4:4" ht="13.2" x14ac:dyDescent="0.25">
      <c r="D450" s="2"/>
    </row>
    <row r="451" spans="4:4" ht="13.2" x14ac:dyDescent="0.25">
      <c r="D451" s="2"/>
    </row>
    <row r="452" spans="4:4" ht="13.2" x14ac:dyDescent="0.25">
      <c r="D452" s="2"/>
    </row>
    <row r="453" spans="4:4" ht="13.2" x14ac:dyDescent="0.25">
      <c r="D453" s="2"/>
    </row>
    <row r="454" spans="4:4" ht="13.2" x14ac:dyDescent="0.25">
      <c r="D454" s="2"/>
    </row>
    <row r="455" spans="4:4" ht="13.2" x14ac:dyDescent="0.25">
      <c r="D455" s="2"/>
    </row>
    <row r="456" spans="4:4" ht="13.2" x14ac:dyDescent="0.25">
      <c r="D456" s="2"/>
    </row>
    <row r="457" spans="4:4" ht="13.2" x14ac:dyDescent="0.25">
      <c r="D457" s="2"/>
    </row>
    <row r="458" spans="4:4" ht="13.2" x14ac:dyDescent="0.25">
      <c r="D458" s="2"/>
    </row>
    <row r="459" spans="4:4" ht="13.2" x14ac:dyDescent="0.25">
      <c r="D459" s="2"/>
    </row>
    <row r="460" spans="4:4" ht="13.2" x14ac:dyDescent="0.25">
      <c r="D460" s="2"/>
    </row>
    <row r="461" spans="4:4" ht="13.2" x14ac:dyDescent="0.25">
      <c r="D461" s="2"/>
    </row>
    <row r="462" spans="4:4" ht="13.2" x14ac:dyDescent="0.25">
      <c r="D462" s="2"/>
    </row>
    <row r="463" spans="4:4" ht="13.2" x14ac:dyDescent="0.25">
      <c r="D463" s="2"/>
    </row>
    <row r="464" spans="4:4" ht="13.2" x14ac:dyDescent="0.25">
      <c r="D464" s="2"/>
    </row>
    <row r="465" spans="4:4" ht="13.2" x14ac:dyDescent="0.25">
      <c r="D465" s="2"/>
    </row>
    <row r="466" spans="4:4" ht="13.2" x14ac:dyDescent="0.25">
      <c r="D466" s="2"/>
    </row>
    <row r="467" spans="4:4" ht="13.2" x14ac:dyDescent="0.25">
      <c r="D467" s="2"/>
    </row>
    <row r="468" spans="4:4" ht="13.2" x14ac:dyDescent="0.25">
      <c r="D468" s="2"/>
    </row>
    <row r="469" spans="4:4" ht="13.2" x14ac:dyDescent="0.25">
      <c r="D469" s="2"/>
    </row>
    <row r="470" spans="4:4" ht="13.2" x14ac:dyDescent="0.25">
      <c r="D470" s="2"/>
    </row>
    <row r="471" spans="4:4" ht="13.2" x14ac:dyDescent="0.25">
      <c r="D471" s="2"/>
    </row>
    <row r="472" spans="4:4" ht="13.2" x14ac:dyDescent="0.25">
      <c r="D472" s="2"/>
    </row>
    <row r="473" spans="4:4" ht="13.2" x14ac:dyDescent="0.25">
      <c r="D473" s="2"/>
    </row>
    <row r="474" spans="4:4" ht="13.2" x14ac:dyDescent="0.25">
      <c r="D474" s="2"/>
    </row>
    <row r="475" spans="4:4" ht="13.2" x14ac:dyDescent="0.25">
      <c r="D475" s="2"/>
    </row>
    <row r="476" spans="4:4" ht="13.2" x14ac:dyDescent="0.25">
      <c r="D476" s="2"/>
    </row>
    <row r="477" spans="4:4" ht="13.2" x14ac:dyDescent="0.25">
      <c r="D477" s="2"/>
    </row>
    <row r="478" spans="4:4" ht="13.2" x14ac:dyDescent="0.25">
      <c r="D478" s="2"/>
    </row>
    <row r="479" spans="4:4" ht="13.2" x14ac:dyDescent="0.25">
      <c r="D479" s="2"/>
    </row>
    <row r="480" spans="4:4" ht="13.2" x14ac:dyDescent="0.25">
      <c r="D480" s="2"/>
    </row>
    <row r="481" spans="4:4" ht="13.2" x14ac:dyDescent="0.25">
      <c r="D481" s="2"/>
    </row>
    <row r="482" spans="4:4" ht="13.2" x14ac:dyDescent="0.25">
      <c r="D482" s="2"/>
    </row>
    <row r="483" spans="4:4" ht="13.2" x14ac:dyDescent="0.25">
      <c r="D483" s="2"/>
    </row>
    <row r="484" spans="4:4" ht="13.2" x14ac:dyDescent="0.25">
      <c r="D484" s="2"/>
    </row>
    <row r="485" spans="4:4" ht="13.2" x14ac:dyDescent="0.25">
      <c r="D485" s="2"/>
    </row>
    <row r="486" spans="4:4" ht="13.2" x14ac:dyDescent="0.25">
      <c r="D486" s="2"/>
    </row>
    <row r="487" spans="4:4" ht="13.2" x14ac:dyDescent="0.25">
      <c r="D487" s="2"/>
    </row>
    <row r="488" spans="4:4" ht="13.2" x14ac:dyDescent="0.25">
      <c r="D488" s="2"/>
    </row>
    <row r="489" spans="4:4" ht="13.2" x14ac:dyDescent="0.25">
      <c r="D489" s="2"/>
    </row>
    <row r="490" spans="4:4" ht="13.2" x14ac:dyDescent="0.25">
      <c r="D490" s="2"/>
    </row>
    <row r="491" spans="4:4" ht="13.2" x14ac:dyDescent="0.25">
      <c r="D491" s="2"/>
    </row>
    <row r="492" spans="4:4" ht="13.2" x14ac:dyDescent="0.25">
      <c r="D492" s="2"/>
    </row>
    <row r="493" spans="4:4" ht="13.2" x14ac:dyDescent="0.25">
      <c r="D493" s="2"/>
    </row>
    <row r="494" spans="4:4" ht="13.2" x14ac:dyDescent="0.25">
      <c r="D494" s="2"/>
    </row>
    <row r="495" spans="4:4" ht="13.2" x14ac:dyDescent="0.25">
      <c r="D495" s="2"/>
    </row>
    <row r="496" spans="4:4" ht="13.2" x14ac:dyDescent="0.25">
      <c r="D496" s="2"/>
    </row>
    <row r="497" spans="4:4" ht="13.2" x14ac:dyDescent="0.25">
      <c r="D497" s="2"/>
    </row>
    <row r="498" spans="4:4" ht="13.2" x14ac:dyDescent="0.25">
      <c r="D498" s="2"/>
    </row>
    <row r="499" spans="4:4" ht="13.2" x14ac:dyDescent="0.25">
      <c r="D499" s="2"/>
    </row>
    <row r="500" spans="4:4" ht="13.2" x14ac:dyDescent="0.25">
      <c r="D500" s="2"/>
    </row>
    <row r="501" spans="4:4" ht="13.2" x14ac:dyDescent="0.25">
      <c r="D501" s="2"/>
    </row>
    <row r="502" spans="4:4" ht="13.2" x14ac:dyDescent="0.25">
      <c r="D502" s="2"/>
    </row>
    <row r="503" spans="4:4" ht="13.2" x14ac:dyDescent="0.25">
      <c r="D503" s="2"/>
    </row>
    <row r="504" spans="4:4" ht="13.2" x14ac:dyDescent="0.25">
      <c r="D504" s="2"/>
    </row>
    <row r="505" spans="4:4" ht="13.2" x14ac:dyDescent="0.25">
      <c r="D505" s="2"/>
    </row>
    <row r="506" spans="4:4" ht="13.2" x14ac:dyDescent="0.25">
      <c r="D506" s="2"/>
    </row>
    <row r="507" spans="4:4" ht="13.2" x14ac:dyDescent="0.25">
      <c r="D507" s="2"/>
    </row>
    <row r="508" spans="4:4" ht="13.2" x14ac:dyDescent="0.25">
      <c r="D508" s="2"/>
    </row>
    <row r="509" spans="4:4" ht="13.2" x14ac:dyDescent="0.25">
      <c r="D509" s="2"/>
    </row>
    <row r="510" spans="4:4" ht="13.2" x14ac:dyDescent="0.25">
      <c r="D510" s="2"/>
    </row>
    <row r="511" spans="4:4" ht="13.2" x14ac:dyDescent="0.25">
      <c r="D511" s="2"/>
    </row>
    <row r="512" spans="4:4" ht="13.2" x14ac:dyDescent="0.25">
      <c r="D512" s="2"/>
    </row>
    <row r="513" spans="4:4" ht="13.2" x14ac:dyDescent="0.25">
      <c r="D513" s="2"/>
    </row>
    <row r="514" spans="4:4" ht="13.2" x14ac:dyDescent="0.25">
      <c r="D514" s="2"/>
    </row>
    <row r="515" spans="4:4" ht="13.2" x14ac:dyDescent="0.25">
      <c r="D515" s="2"/>
    </row>
    <row r="516" spans="4:4" ht="13.2" x14ac:dyDescent="0.25">
      <c r="D516" s="2"/>
    </row>
    <row r="517" spans="4:4" ht="13.2" x14ac:dyDescent="0.25">
      <c r="D517" s="2"/>
    </row>
    <row r="518" spans="4:4" ht="13.2" x14ac:dyDescent="0.25">
      <c r="D518" s="2"/>
    </row>
    <row r="519" spans="4:4" ht="13.2" x14ac:dyDescent="0.25">
      <c r="D519" s="2"/>
    </row>
    <row r="520" spans="4:4" ht="13.2" x14ac:dyDescent="0.25">
      <c r="D520" s="2"/>
    </row>
    <row r="521" spans="4:4" ht="13.2" x14ac:dyDescent="0.25">
      <c r="D521" s="2"/>
    </row>
    <row r="522" spans="4:4" ht="13.2" x14ac:dyDescent="0.25">
      <c r="D522" s="2"/>
    </row>
    <row r="523" spans="4:4" ht="13.2" x14ac:dyDescent="0.25">
      <c r="D523" s="2"/>
    </row>
    <row r="524" spans="4:4" ht="13.2" x14ac:dyDescent="0.25">
      <c r="D524" s="2"/>
    </row>
    <row r="525" spans="4:4" ht="13.2" x14ac:dyDescent="0.25">
      <c r="D525" s="2"/>
    </row>
    <row r="526" spans="4:4" ht="13.2" x14ac:dyDescent="0.25">
      <c r="D526" s="2"/>
    </row>
    <row r="527" spans="4:4" ht="13.2" x14ac:dyDescent="0.25">
      <c r="D527" s="2"/>
    </row>
    <row r="528" spans="4:4" ht="13.2" x14ac:dyDescent="0.25">
      <c r="D528" s="2"/>
    </row>
    <row r="529" spans="4:4" ht="13.2" x14ac:dyDescent="0.25">
      <c r="D529" s="2"/>
    </row>
    <row r="530" spans="4:4" ht="13.2" x14ac:dyDescent="0.25">
      <c r="D530" s="2"/>
    </row>
    <row r="531" spans="4:4" ht="13.2" x14ac:dyDescent="0.25">
      <c r="D531" s="2"/>
    </row>
    <row r="532" spans="4:4" ht="13.2" x14ac:dyDescent="0.25">
      <c r="D532" s="2"/>
    </row>
    <row r="533" spans="4:4" ht="13.2" x14ac:dyDescent="0.25">
      <c r="D533" s="2"/>
    </row>
    <row r="534" spans="4:4" ht="13.2" x14ac:dyDescent="0.25">
      <c r="D534" s="2"/>
    </row>
    <row r="535" spans="4:4" ht="13.2" x14ac:dyDescent="0.25">
      <c r="D535" s="2"/>
    </row>
    <row r="536" spans="4:4" ht="13.2" x14ac:dyDescent="0.25">
      <c r="D536" s="2"/>
    </row>
    <row r="537" spans="4:4" ht="13.2" x14ac:dyDescent="0.25">
      <c r="D537" s="2"/>
    </row>
    <row r="538" spans="4:4" ht="13.2" x14ac:dyDescent="0.25">
      <c r="D538" s="2"/>
    </row>
    <row r="539" spans="4:4" ht="13.2" x14ac:dyDescent="0.25">
      <c r="D539" s="2"/>
    </row>
    <row r="540" spans="4:4" ht="13.2" x14ac:dyDescent="0.25">
      <c r="D540" s="2"/>
    </row>
    <row r="541" spans="4:4" ht="13.2" x14ac:dyDescent="0.25">
      <c r="D541" s="2"/>
    </row>
    <row r="542" spans="4:4" ht="13.2" x14ac:dyDescent="0.25">
      <c r="D542" s="2"/>
    </row>
    <row r="543" spans="4:4" ht="13.2" x14ac:dyDescent="0.25">
      <c r="D543" s="2"/>
    </row>
    <row r="544" spans="4:4" ht="13.2" x14ac:dyDescent="0.25">
      <c r="D544" s="2"/>
    </row>
    <row r="545" spans="4:4" ht="13.2" x14ac:dyDescent="0.25">
      <c r="D545" s="2"/>
    </row>
    <row r="546" spans="4:4" ht="13.2" x14ac:dyDescent="0.25">
      <c r="D546" s="2"/>
    </row>
    <row r="547" spans="4:4" ht="13.2" x14ac:dyDescent="0.25">
      <c r="D547" s="2"/>
    </row>
    <row r="548" spans="4:4" ht="13.2" x14ac:dyDescent="0.25">
      <c r="D548" s="2"/>
    </row>
    <row r="549" spans="4:4" ht="13.2" x14ac:dyDescent="0.25">
      <c r="D549" s="2"/>
    </row>
    <row r="550" spans="4:4" ht="13.2" x14ac:dyDescent="0.25">
      <c r="D550" s="2"/>
    </row>
    <row r="551" spans="4:4" ht="13.2" x14ac:dyDescent="0.25">
      <c r="D551" s="2"/>
    </row>
    <row r="552" spans="4:4" ht="13.2" x14ac:dyDescent="0.25">
      <c r="D552" s="2"/>
    </row>
    <row r="553" spans="4:4" ht="13.2" x14ac:dyDescent="0.25">
      <c r="D553" s="2"/>
    </row>
    <row r="554" spans="4:4" ht="13.2" x14ac:dyDescent="0.25">
      <c r="D554" s="2"/>
    </row>
    <row r="555" spans="4:4" ht="13.2" x14ac:dyDescent="0.25">
      <c r="D555" s="2"/>
    </row>
    <row r="556" spans="4:4" ht="13.2" x14ac:dyDescent="0.25">
      <c r="D556" s="2"/>
    </row>
    <row r="557" spans="4:4" ht="13.2" x14ac:dyDescent="0.25">
      <c r="D557" s="2"/>
    </row>
    <row r="558" spans="4:4" ht="13.2" x14ac:dyDescent="0.25">
      <c r="D558" s="2"/>
    </row>
    <row r="559" spans="4:4" ht="13.2" x14ac:dyDescent="0.25">
      <c r="D559" s="2"/>
    </row>
    <row r="560" spans="4:4" ht="13.2" x14ac:dyDescent="0.25">
      <c r="D560" s="2"/>
    </row>
    <row r="561" spans="4:4" ht="13.2" x14ac:dyDescent="0.25">
      <c r="D561" s="2"/>
    </row>
    <row r="562" spans="4:4" ht="13.2" x14ac:dyDescent="0.25">
      <c r="D562" s="2"/>
    </row>
    <row r="563" spans="4:4" ht="13.2" x14ac:dyDescent="0.25">
      <c r="D563" s="2"/>
    </row>
    <row r="564" spans="4:4" ht="13.2" x14ac:dyDescent="0.25">
      <c r="D564" s="2"/>
    </row>
    <row r="565" spans="4:4" ht="13.2" x14ac:dyDescent="0.25">
      <c r="D565" s="2"/>
    </row>
    <row r="566" spans="4:4" ht="13.2" x14ac:dyDescent="0.25">
      <c r="D566" s="2"/>
    </row>
    <row r="567" spans="4:4" ht="13.2" x14ac:dyDescent="0.25">
      <c r="D567" s="2"/>
    </row>
    <row r="568" spans="4:4" ht="13.2" x14ac:dyDescent="0.25">
      <c r="D568" s="2"/>
    </row>
    <row r="569" spans="4:4" ht="13.2" x14ac:dyDescent="0.25">
      <c r="D569" s="2"/>
    </row>
    <row r="570" spans="4:4" ht="13.2" x14ac:dyDescent="0.25">
      <c r="D570" s="2"/>
    </row>
    <row r="571" spans="4:4" ht="13.2" x14ac:dyDescent="0.25">
      <c r="D571" s="2"/>
    </row>
    <row r="572" spans="4:4" ht="13.2" x14ac:dyDescent="0.25">
      <c r="D572" s="2"/>
    </row>
    <row r="573" spans="4:4" ht="13.2" x14ac:dyDescent="0.25">
      <c r="D573" s="2"/>
    </row>
    <row r="574" spans="4:4" ht="13.2" x14ac:dyDescent="0.25">
      <c r="D574" s="2"/>
    </row>
    <row r="575" spans="4:4" ht="13.2" x14ac:dyDescent="0.25">
      <c r="D575" s="2"/>
    </row>
    <row r="576" spans="4:4" ht="13.2" x14ac:dyDescent="0.25">
      <c r="D576" s="2"/>
    </row>
    <row r="577" spans="4:4" ht="13.2" x14ac:dyDescent="0.25">
      <c r="D577" s="2"/>
    </row>
    <row r="578" spans="4:4" ht="13.2" x14ac:dyDescent="0.25">
      <c r="D578" s="2"/>
    </row>
    <row r="579" spans="4:4" ht="13.2" x14ac:dyDescent="0.25">
      <c r="D579" s="2"/>
    </row>
    <row r="580" spans="4:4" ht="13.2" x14ac:dyDescent="0.25">
      <c r="D580" s="2"/>
    </row>
    <row r="581" spans="4:4" ht="13.2" x14ac:dyDescent="0.25">
      <c r="D581" s="2"/>
    </row>
    <row r="582" spans="4:4" ht="13.2" x14ac:dyDescent="0.25">
      <c r="D582" s="2"/>
    </row>
    <row r="583" spans="4:4" ht="13.2" x14ac:dyDescent="0.25">
      <c r="D583" s="2"/>
    </row>
    <row r="584" spans="4:4" ht="13.2" x14ac:dyDescent="0.25">
      <c r="D584" s="2"/>
    </row>
    <row r="585" spans="4:4" ht="13.2" x14ac:dyDescent="0.25">
      <c r="D585" s="2"/>
    </row>
    <row r="586" spans="4:4" ht="13.2" x14ac:dyDescent="0.25">
      <c r="D586" s="2"/>
    </row>
    <row r="587" spans="4:4" ht="13.2" x14ac:dyDescent="0.25">
      <c r="D587" s="2"/>
    </row>
    <row r="588" spans="4:4" ht="13.2" x14ac:dyDescent="0.25">
      <c r="D588" s="2"/>
    </row>
    <row r="589" spans="4:4" ht="13.2" x14ac:dyDescent="0.25">
      <c r="D589" s="2"/>
    </row>
    <row r="590" spans="4:4" ht="13.2" x14ac:dyDescent="0.25">
      <c r="D590" s="2"/>
    </row>
    <row r="591" spans="4:4" ht="13.2" x14ac:dyDescent="0.25">
      <c r="D591" s="2"/>
    </row>
    <row r="592" spans="4:4" ht="13.2" x14ac:dyDescent="0.25">
      <c r="D592" s="2"/>
    </row>
    <row r="593" spans="4:4" ht="13.2" x14ac:dyDescent="0.25">
      <c r="D593" s="2"/>
    </row>
    <row r="594" spans="4:4" ht="13.2" x14ac:dyDescent="0.25">
      <c r="D594" s="2"/>
    </row>
    <row r="595" spans="4:4" ht="13.2" x14ac:dyDescent="0.25">
      <c r="D595" s="2"/>
    </row>
    <row r="596" spans="4:4" ht="13.2" x14ac:dyDescent="0.25">
      <c r="D596" s="2"/>
    </row>
    <row r="597" spans="4:4" ht="13.2" x14ac:dyDescent="0.25">
      <c r="D597" s="2"/>
    </row>
    <row r="598" spans="4:4" ht="13.2" x14ac:dyDescent="0.25">
      <c r="D598" s="2"/>
    </row>
    <row r="599" spans="4:4" ht="13.2" x14ac:dyDescent="0.25">
      <c r="D599" s="2"/>
    </row>
    <row r="600" spans="4:4" ht="13.2" x14ac:dyDescent="0.25">
      <c r="D600" s="2"/>
    </row>
    <row r="601" spans="4:4" ht="13.2" x14ac:dyDescent="0.25">
      <c r="D601" s="2"/>
    </row>
    <row r="602" spans="4:4" ht="13.2" x14ac:dyDescent="0.25">
      <c r="D602" s="2"/>
    </row>
    <row r="603" spans="4:4" ht="13.2" x14ac:dyDescent="0.25">
      <c r="D603" s="2"/>
    </row>
    <row r="604" spans="4:4" ht="13.2" x14ac:dyDescent="0.25">
      <c r="D604" s="2"/>
    </row>
    <row r="605" spans="4:4" ht="13.2" x14ac:dyDescent="0.25">
      <c r="D605" s="2"/>
    </row>
    <row r="606" spans="4:4" ht="13.2" x14ac:dyDescent="0.25">
      <c r="D606" s="2"/>
    </row>
    <row r="607" spans="4:4" ht="13.2" x14ac:dyDescent="0.25">
      <c r="D607" s="2"/>
    </row>
    <row r="608" spans="4:4" ht="13.2" x14ac:dyDescent="0.25">
      <c r="D608" s="2"/>
    </row>
    <row r="609" spans="4:4" ht="13.2" x14ac:dyDescent="0.25">
      <c r="D609" s="2"/>
    </row>
    <row r="610" spans="4:4" ht="13.2" x14ac:dyDescent="0.25">
      <c r="D610" s="2"/>
    </row>
    <row r="611" spans="4:4" ht="13.2" x14ac:dyDescent="0.25">
      <c r="D611" s="2"/>
    </row>
    <row r="612" spans="4:4" ht="13.2" x14ac:dyDescent="0.25">
      <c r="D612" s="2"/>
    </row>
    <row r="613" spans="4:4" ht="13.2" x14ac:dyDescent="0.25">
      <c r="D613" s="2"/>
    </row>
    <row r="614" spans="4:4" ht="13.2" x14ac:dyDescent="0.25">
      <c r="D614" s="2"/>
    </row>
    <row r="615" spans="4:4" ht="13.2" x14ac:dyDescent="0.25">
      <c r="D615" s="2"/>
    </row>
    <row r="616" spans="4:4" ht="13.2" x14ac:dyDescent="0.25">
      <c r="D616" s="2"/>
    </row>
    <row r="617" spans="4:4" ht="13.2" x14ac:dyDescent="0.25">
      <c r="D617" s="2"/>
    </row>
    <row r="618" spans="4:4" ht="13.2" x14ac:dyDescent="0.25">
      <c r="D618" s="2"/>
    </row>
    <row r="619" spans="4:4" ht="13.2" x14ac:dyDescent="0.25">
      <c r="D619" s="2"/>
    </row>
    <row r="620" spans="4:4" ht="13.2" x14ac:dyDescent="0.25">
      <c r="D620" s="2"/>
    </row>
    <row r="621" spans="4:4" ht="13.2" x14ac:dyDescent="0.25">
      <c r="D621" s="2"/>
    </row>
    <row r="622" spans="4:4" ht="13.2" x14ac:dyDescent="0.25">
      <c r="D622" s="2"/>
    </row>
    <row r="623" spans="4:4" ht="13.2" x14ac:dyDescent="0.25">
      <c r="D623" s="2"/>
    </row>
    <row r="624" spans="4:4" ht="13.2" x14ac:dyDescent="0.25">
      <c r="D624" s="2"/>
    </row>
    <row r="625" spans="4:4" ht="13.2" x14ac:dyDescent="0.25">
      <c r="D625" s="2"/>
    </row>
    <row r="626" spans="4:4" ht="13.2" x14ac:dyDescent="0.25">
      <c r="D626" s="2"/>
    </row>
    <row r="627" spans="4:4" ht="13.2" x14ac:dyDescent="0.25">
      <c r="D627" s="2"/>
    </row>
    <row r="628" spans="4:4" ht="13.2" x14ac:dyDescent="0.25">
      <c r="D628" s="2"/>
    </row>
    <row r="629" spans="4:4" ht="13.2" x14ac:dyDescent="0.25">
      <c r="D629" s="2"/>
    </row>
    <row r="630" spans="4:4" ht="13.2" x14ac:dyDescent="0.25">
      <c r="D630" s="2"/>
    </row>
    <row r="631" spans="4:4" ht="13.2" x14ac:dyDescent="0.25">
      <c r="D631" s="2"/>
    </row>
    <row r="632" spans="4:4" ht="13.2" x14ac:dyDescent="0.25">
      <c r="D632" s="2"/>
    </row>
    <row r="633" spans="4:4" ht="13.2" x14ac:dyDescent="0.25">
      <c r="D633" s="2"/>
    </row>
    <row r="634" spans="4:4" ht="13.2" x14ac:dyDescent="0.25">
      <c r="D634" s="2"/>
    </row>
    <row r="635" spans="4:4" ht="13.2" x14ac:dyDescent="0.25">
      <c r="D635" s="2"/>
    </row>
    <row r="636" spans="4:4" ht="13.2" x14ac:dyDescent="0.25">
      <c r="D636" s="2"/>
    </row>
    <row r="637" spans="4:4" ht="13.2" x14ac:dyDescent="0.25">
      <c r="D637" s="2"/>
    </row>
    <row r="638" spans="4:4" ht="13.2" x14ac:dyDescent="0.25">
      <c r="D638" s="2"/>
    </row>
    <row r="639" spans="4:4" ht="13.2" x14ac:dyDescent="0.25">
      <c r="D639" s="2"/>
    </row>
    <row r="640" spans="4:4" ht="13.2" x14ac:dyDescent="0.25">
      <c r="D640" s="2"/>
    </row>
    <row r="641" spans="4:4" ht="13.2" x14ac:dyDescent="0.25">
      <c r="D641" s="2"/>
    </row>
    <row r="642" spans="4:4" ht="13.2" x14ac:dyDescent="0.25">
      <c r="D642" s="2"/>
    </row>
    <row r="643" spans="4:4" ht="13.2" x14ac:dyDescent="0.25">
      <c r="D643" s="2"/>
    </row>
    <row r="644" spans="4:4" ht="13.2" x14ac:dyDescent="0.25">
      <c r="D644" s="2"/>
    </row>
    <row r="645" spans="4:4" ht="13.2" x14ac:dyDescent="0.25">
      <c r="D645" s="2"/>
    </row>
    <row r="646" spans="4:4" ht="13.2" x14ac:dyDescent="0.25">
      <c r="D646" s="2"/>
    </row>
    <row r="647" spans="4:4" ht="13.2" x14ac:dyDescent="0.25">
      <c r="D647" s="2"/>
    </row>
    <row r="648" spans="4:4" ht="13.2" x14ac:dyDescent="0.25">
      <c r="D648" s="2"/>
    </row>
    <row r="649" spans="4:4" ht="13.2" x14ac:dyDescent="0.25">
      <c r="D649" s="2"/>
    </row>
    <row r="650" spans="4:4" ht="13.2" x14ac:dyDescent="0.25">
      <c r="D650" s="2"/>
    </row>
    <row r="651" spans="4:4" ht="13.2" x14ac:dyDescent="0.25">
      <c r="D651" s="2"/>
    </row>
    <row r="652" spans="4:4" ht="13.2" x14ac:dyDescent="0.25">
      <c r="D652" s="2"/>
    </row>
    <row r="653" spans="4:4" ht="13.2" x14ac:dyDescent="0.25">
      <c r="D653" s="2"/>
    </row>
    <row r="654" spans="4:4" ht="13.2" x14ac:dyDescent="0.25">
      <c r="D654" s="2"/>
    </row>
    <row r="655" spans="4:4" ht="13.2" x14ac:dyDescent="0.25">
      <c r="D655" s="2"/>
    </row>
    <row r="656" spans="4:4" ht="13.2" x14ac:dyDescent="0.25">
      <c r="D656" s="2"/>
    </row>
    <row r="657" spans="4:4" ht="13.2" x14ac:dyDescent="0.25">
      <c r="D657" s="2"/>
    </row>
    <row r="658" spans="4:4" ht="13.2" x14ac:dyDescent="0.25">
      <c r="D658" s="2"/>
    </row>
    <row r="659" spans="4:4" ht="13.2" x14ac:dyDescent="0.25">
      <c r="D659" s="2"/>
    </row>
    <row r="660" spans="4:4" ht="13.2" x14ac:dyDescent="0.25">
      <c r="D660" s="2"/>
    </row>
    <row r="661" spans="4:4" ht="13.2" x14ac:dyDescent="0.25">
      <c r="D661" s="2"/>
    </row>
    <row r="662" spans="4:4" ht="13.2" x14ac:dyDescent="0.25">
      <c r="D662" s="2"/>
    </row>
    <row r="663" spans="4:4" ht="13.2" x14ac:dyDescent="0.25">
      <c r="D663" s="2"/>
    </row>
    <row r="664" spans="4:4" ht="13.2" x14ac:dyDescent="0.25">
      <c r="D664" s="2"/>
    </row>
    <row r="665" spans="4:4" ht="13.2" x14ac:dyDescent="0.25">
      <c r="D665" s="2"/>
    </row>
    <row r="666" spans="4:4" ht="13.2" x14ac:dyDescent="0.25">
      <c r="D666" s="2"/>
    </row>
    <row r="667" spans="4:4" ht="13.2" x14ac:dyDescent="0.25">
      <c r="D667" s="2"/>
    </row>
    <row r="668" spans="4:4" ht="13.2" x14ac:dyDescent="0.25">
      <c r="D668" s="2"/>
    </row>
    <row r="669" spans="4:4" ht="13.2" x14ac:dyDescent="0.25">
      <c r="D669" s="2"/>
    </row>
    <row r="670" spans="4:4" ht="13.2" x14ac:dyDescent="0.25">
      <c r="D670" s="2"/>
    </row>
    <row r="671" spans="4:4" ht="13.2" x14ac:dyDescent="0.25">
      <c r="D671" s="2"/>
    </row>
    <row r="672" spans="4:4" ht="13.2" x14ac:dyDescent="0.25">
      <c r="D672" s="2"/>
    </row>
    <row r="673" spans="4:4" ht="13.2" x14ac:dyDescent="0.25">
      <c r="D673" s="2"/>
    </row>
    <row r="674" spans="4:4" ht="13.2" x14ac:dyDescent="0.25">
      <c r="D674" s="2"/>
    </row>
    <row r="675" spans="4:4" ht="13.2" x14ac:dyDescent="0.25">
      <c r="D675" s="2"/>
    </row>
    <row r="676" spans="4:4" ht="13.2" x14ac:dyDescent="0.25">
      <c r="D676" s="2"/>
    </row>
    <row r="677" spans="4:4" ht="13.2" x14ac:dyDescent="0.25">
      <c r="D677" s="2"/>
    </row>
    <row r="678" spans="4:4" ht="13.2" x14ac:dyDescent="0.25">
      <c r="D678" s="2"/>
    </row>
    <row r="679" spans="4:4" ht="13.2" x14ac:dyDescent="0.25">
      <c r="D679" s="2"/>
    </row>
    <row r="680" spans="4:4" ht="13.2" x14ac:dyDescent="0.25">
      <c r="D680" s="2"/>
    </row>
    <row r="681" spans="4:4" ht="13.2" x14ac:dyDescent="0.25">
      <c r="D681" s="2"/>
    </row>
    <row r="682" spans="4:4" ht="13.2" x14ac:dyDescent="0.25">
      <c r="D682" s="2"/>
    </row>
    <row r="683" spans="4:4" ht="13.2" x14ac:dyDescent="0.25">
      <c r="D683" s="2"/>
    </row>
    <row r="684" spans="4:4" ht="13.2" x14ac:dyDescent="0.25">
      <c r="D684" s="2"/>
    </row>
    <row r="685" spans="4:4" ht="13.2" x14ac:dyDescent="0.25">
      <c r="D685" s="2"/>
    </row>
    <row r="686" spans="4:4" ht="13.2" x14ac:dyDescent="0.25">
      <c r="D686" s="2"/>
    </row>
    <row r="687" spans="4:4" ht="13.2" x14ac:dyDescent="0.25">
      <c r="D687" s="2"/>
    </row>
    <row r="688" spans="4:4" ht="13.2" x14ac:dyDescent="0.25">
      <c r="D688" s="2"/>
    </row>
    <row r="689" spans="4:4" ht="13.2" x14ac:dyDescent="0.25">
      <c r="D689" s="2"/>
    </row>
    <row r="690" spans="4:4" ht="13.2" x14ac:dyDescent="0.25">
      <c r="D690" s="2"/>
    </row>
    <row r="691" spans="4:4" ht="13.2" x14ac:dyDescent="0.25">
      <c r="D691" s="2"/>
    </row>
    <row r="692" spans="4:4" ht="13.2" x14ac:dyDescent="0.25">
      <c r="D692" s="2"/>
    </row>
    <row r="693" spans="4:4" ht="13.2" x14ac:dyDescent="0.25">
      <c r="D693" s="2"/>
    </row>
    <row r="694" spans="4:4" ht="13.2" x14ac:dyDescent="0.25">
      <c r="D694" s="2"/>
    </row>
    <row r="695" spans="4:4" ht="13.2" x14ac:dyDescent="0.25">
      <c r="D695" s="2"/>
    </row>
    <row r="696" spans="4:4" ht="13.2" x14ac:dyDescent="0.25">
      <c r="D696" s="2"/>
    </row>
    <row r="697" spans="4:4" ht="13.2" x14ac:dyDescent="0.25">
      <c r="D697" s="2"/>
    </row>
    <row r="698" spans="4:4" ht="13.2" x14ac:dyDescent="0.25">
      <c r="D698" s="2"/>
    </row>
    <row r="699" spans="4:4" ht="13.2" x14ac:dyDescent="0.25">
      <c r="D699" s="2"/>
    </row>
    <row r="700" spans="4:4" ht="13.2" x14ac:dyDescent="0.25">
      <c r="D700" s="2"/>
    </row>
    <row r="701" spans="4:4" ht="13.2" x14ac:dyDescent="0.25">
      <c r="D701" s="2"/>
    </row>
    <row r="702" spans="4:4" ht="13.2" x14ac:dyDescent="0.25">
      <c r="D702" s="2"/>
    </row>
    <row r="703" spans="4:4" ht="13.2" x14ac:dyDescent="0.25">
      <c r="D703" s="2"/>
    </row>
    <row r="704" spans="4:4" ht="13.2" x14ac:dyDescent="0.25">
      <c r="D704" s="2"/>
    </row>
    <row r="705" spans="4:4" ht="13.2" x14ac:dyDescent="0.25">
      <c r="D705" s="2"/>
    </row>
    <row r="706" spans="4:4" ht="13.2" x14ac:dyDescent="0.25">
      <c r="D706" s="2"/>
    </row>
    <row r="707" spans="4:4" ht="13.2" x14ac:dyDescent="0.25">
      <c r="D707" s="2"/>
    </row>
    <row r="708" spans="4:4" ht="13.2" x14ac:dyDescent="0.25">
      <c r="D708" s="2"/>
    </row>
    <row r="709" spans="4:4" ht="13.2" x14ac:dyDescent="0.25">
      <c r="D709" s="2"/>
    </row>
    <row r="710" spans="4:4" ht="13.2" x14ac:dyDescent="0.25">
      <c r="D710" s="2"/>
    </row>
    <row r="711" spans="4:4" ht="13.2" x14ac:dyDescent="0.25">
      <c r="D711" s="2"/>
    </row>
    <row r="712" spans="4:4" ht="13.2" x14ac:dyDescent="0.25">
      <c r="D712" s="2"/>
    </row>
    <row r="713" spans="4:4" ht="13.2" x14ac:dyDescent="0.25">
      <c r="D713" s="2"/>
    </row>
    <row r="714" spans="4:4" ht="13.2" x14ac:dyDescent="0.25">
      <c r="D714" s="2"/>
    </row>
    <row r="715" spans="4:4" ht="13.2" x14ac:dyDescent="0.25">
      <c r="D715" s="2"/>
    </row>
    <row r="716" spans="4:4" ht="13.2" x14ac:dyDescent="0.25">
      <c r="D716" s="2"/>
    </row>
    <row r="717" spans="4:4" ht="13.2" x14ac:dyDescent="0.25">
      <c r="D717" s="2"/>
    </row>
    <row r="718" spans="4:4" ht="13.2" x14ac:dyDescent="0.25">
      <c r="D718" s="2"/>
    </row>
    <row r="719" spans="4:4" ht="13.2" x14ac:dyDescent="0.25">
      <c r="D719" s="2"/>
    </row>
    <row r="720" spans="4:4" ht="13.2" x14ac:dyDescent="0.25">
      <c r="D720" s="2"/>
    </row>
    <row r="721" spans="4:4" ht="13.2" x14ac:dyDescent="0.25">
      <c r="D721" s="2"/>
    </row>
    <row r="722" spans="4:4" ht="13.2" x14ac:dyDescent="0.25">
      <c r="D722" s="2"/>
    </row>
    <row r="723" spans="4:4" ht="13.2" x14ac:dyDescent="0.25">
      <c r="D723" s="2"/>
    </row>
    <row r="724" spans="4:4" ht="13.2" x14ac:dyDescent="0.25">
      <c r="D724" s="2"/>
    </row>
    <row r="725" spans="4:4" ht="13.2" x14ac:dyDescent="0.25">
      <c r="D725" s="2"/>
    </row>
    <row r="726" spans="4:4" ht="13.2" x14ac:dyDescent="0.25">
      <c r="D726" s="2"/>
    </row>
    <row r="727" spans="4:4" ht="13.2" x14ac:dyDescent="0.25">
      <c r="D727" s="2"/>
    </row>
    <row r="728" spans="4:4" ht="13.2" x14ac:dyDescent="0.25">
      <c r="D728" s="2"/>
    </row>
    <row r="729" spans="4:4" ht="13.2" x14ac:dyDescent="0.25">
      <c r="D729" s="2"/>
    </row>
    <row r="730" spans="4:4" ht="13.2" x14ac:dyDescent="0.25">
      <c r="D730" s="2"/>
    </row>
    <row r="731" spans="4:4" ht="13.2" x14ac:dyDescent="0.25">
      <c r="D731" s="2"/>
    </row>
    <row r="732" spans="4:4" ht="13.2" x14ac:dyDescent="0.25">
      <c r="D732" s="2"/>
    </row>
    <row r="733" spans="4:4" ht="13.2" x14ac:dyDescent="0.25">
      <c r="D733" s="2"/>
    </row>
    <row r="734" spans="4:4" ht="13.2" x14ac:dyDescent="0.25">
      <c r="D734" s="2"/>
    </row>
    <row r="735" spans="4:4" ht="13.2" x14ac:dyDescent="0.25">
      <c r="D735" s="2"/>
    </row>
    <row r="736" spans="4:4" ht="13.2" x14ac:dyDescent="0.25">
      <c r="D736" s="2"/>
    </row>
    <row r="737" spans="4:4" ht="13.2" x14ac:dyDescent="0.25">
      <c r="D737" s="2"/>
    </row>
    <row r="738" spans="4:4" ht="13.2" x14ac:dyDescent="0.25">
      <c r="D738" s="2"/>
    </row>
    <row r="739" spans="4:4" ht="13.2" x14ac:dyDescent="0.25">
      <c r="D739" s="2"/>
    </row>
    <row r="740" spans="4:4" ht="13.2" x14ac:dyDescent="0.25">
      <c r="D740" s="2"/>
    </row>
    <row r="741" spans="4:4" ht="13.2" x14ac:dyDescent="0.25">
      <c r="D741" s="2"/>
    </row>
    <row r="742" spans="4:4" ht="13.2" x14ac:dyDescent="0.25">
      <c r="D742" s="2"/>
    </row>
    <row r="743" spans="4:4" ht="13.2" x14ac:dyDescent="0.25">
      <c r="D743" s="2"/>
    </row>
    <row r="744" spans="4:4" ht="13.2" x14ac:dyDescent="0.25">
      <c r="D744" s="2"/>
    </row>
    <row r="745" spans="4:4" ht="13.2" x14ac:dyDescent="0.25">
      <c r="D745" s="2"/>
    </row>
    <row r="746" spans="4:4" ht="13.2" x14ac:dyDescent="0.25">
      <c r="D746" s="2"/>
    </row>
    <row r="747" spans="4:4" ht="13.2" x14ac:dyDescent="0.25">
      <c r="D747" s="2"/>
    </row>
    <row r="748" spans="4:4" ht="13.2" x14ac:dyDescent="0.25">
      <c r="D748" s="2"/>
    </row>
    <row r="749" spans="4:4" ht="13.2" x14ac:dyDescent="0.25">
      <c r="D749" s="2"/>
    </row>
    <row r="750" spans="4:4" ht="13.2" x14ac:dyDescent="0.25">
      <c r="D750" s="2"/>
    </row>
    <row r="751" spans="4:4" ht="13.2" x14ac:dyDescent="0.25">
      <c r="D751" s="2"/>
    </row>
    <row r="752" spans="4:4" ht="13.2" x14ac:dyDescent="0.25">
      <c r="D752" s="2"/>
    </row>
    <row r="753" spans="4:4" ht="13.2" x14ac:dyDescent="0.25">
      <c r="D753" s="2"/>
    </row>
    <row r="754" spans="4:4" ht="13.2" x14ac:dyDescent="0.25">
      <c r="D754" s="2"/>
    </row>
    <row r="755" spans="4:4" ht="13.2" x14ac:dyDescent="0.25">
      <c r="D755" s="2"/>
    </row>
    <row r="756" spans="4:4" ht="13.2" x14ac:dyDescent="0.25">
      <c r="D756" s="2"/>
    </row>
    <row r="757" spans="4:4" ht="13.2" x14ac:dyDescent="0.25">
      <c r="D757" s="2"/>
    </row>
    <row r="758" spans="4:4" ht="13.2" x14ac:dyDescent="0.25">
      <c r="D758" s="2"/>
    </row>
    <row r="759" spans="4:4" ht="13.2" x14ac:dyDescent="0.25">
      <c r="D759" s="2"/>
    </row>
    <row r="760" spans="4:4" ht="13.2" x14ac:dyDescent="0.25">
      <c r="D760" s="2"/>
    </row>
    <row r="761" spans="4:4" ht="13.2" x14ac:dyDescent="0.25">
      <c r="D761" s="2"/>
    </row>
    <row r="762" spans="4:4" ht="13.2" x14ac:dyDescent="0.25">
      <c r="D762" s="2"/>
    </row>
    <row r="763" spans="4:4" ht="13.2" x14ac:dyDescent="0.25">
      <c r="D763" s="2"/>
    </row>
    <row r="764" spans="4:4" ht="13.2" x14ac:dyDescent="0.25">
      <c r="D764" s="2"/>
    </row>
    <row r="765" spans="4:4" ht="13.2" x14ac:dyDescent="0.25">
      <c r="D765" s="2"/>
    </row>
    <row r="766" spans="4:4" ht="13.2" x14ac:dyDescent="0.25">
      <c r="D766" s="2"/>
    </row>
    <row r="767" spans="4:4" ht="13.2" x14ac:dyDescent="0.25">
      <c r="D767" s="2"/>
    </row>
    <row r="768" spans="4:4" ht="13.2" x14ac:dyDescent="0.25">
      <c r="D768" s="2"/>
    </row>
    <row r="769" spans="4:4" ht="13.2" x14ac:dyDescent="0.25">
      <c r="D769" s="2"/>
    </row>
    <row r="770" spans="4:4" ht="13.2" x14ac:dyDescent="0.25">
      <c r="D770" s="2"/>
    </row>
    <row r="771" spans="4:4" ht="13.2" x14ac:dyDescent="0.25">
      <c r="D771" s="2"/>
    </row>
    <row r="772" spans="4:4" ht="13.2" x14ac:dyDescent="0.25">
      <c r="D772" s="2"/>
    </row>
    <row r="773" spans="4:4" ht="13.2" x14ac:dyDescent="0.25">
      <c r="D773" s="2"/>
    </row>
    <row r="774" spans="4:4" ht="13.2" x14ac:dyDescent="0.25">
      <c r="D774" s="2"/>
    </row>
    <row r="775" spans="4:4" ht="13.2" x14ac:dyDescent="0.25">
      <c r="D775" s="2"/>
    </row>
    <row r="776" spans="4:4" ht="13.2" x14ac:dyDescent="0.25">
      <c r="D776" s="2"/>
    </row>
    <row r="777" spans="4:4" ht="13.2" x14ac:dyDescent="0.25">
      <c r="D777" s="2"/>
    </row>
    <row r="778" spans="4:4" ht="13.2" x14ac:dyDescent="0.25">
      <c r="D778" s="2"/>
    </row>
    <row r="779" spans="4:4" ht="13.2" x14ac:dyDescent="0.25">
      <c r="D779" s="2"/>
    </row>
    <row r="780" spans="4:4" ht="13.2" x14ac:dyDescent="0.25">
      <c r="D780" s="2"/>
    </row>
    <row r="781" spans="4:4" ht="13.2" x14ac:dyDescent="0.25">
      <c r="D781" s="2"/>
    </row>
    <row r="782" spans="4:4" ht="13.2" x14ac:dyDescent="0.25">
      <c r="D782" s="2"/>
    </row>
    <row r="783" spans="4:4" ht="13.2" x14ac:dyDescent="0.25">
      <c r="D783" s="2"/>
    </row>
    <row r="784" spans="4:4" ht="13.2" x14ac:dyDescent="0.25">
      <c r="D784" s="2"/>
    </row>
    <row r="785" spans="4:4" ht="13.2" x14ac:dyDescent="0.25">
      <c r="D785" s="2"/>
    </row>
    <row r="786" spans="4:4" ht="13.2" x14ac:dyDescent="0.25">
      <c r="D786" s="2"/>
    </row>
    <row r="787" spans="4:4" ht="13.2" x14ac:dyDescent="0.25">
      <c r="D787" s="2"/>
    </row>
    <row r="788" spans="4:4" ht="13.2" x14ac:dyDescent="0.25">
      <c r="D788" s="2"/>
    </row>
    <row r="789" spans="4:4" ht="13.2" x14ac:dyDescent="0.25">
      <c r="D789" s="2"/>
    </row>
    <row r="790" spans="4:4" ht="13.2" x14ac:dyDescent="0.25">
      <c r="D790" s="2"/>
    </row>
    <row r="791" spans="4:4" ht="13.2" x14ac:dyDescent="0.25">
      <c r="D791" s="2"/>
    </row>
    <row r="792" spans="4:4" ht="13.2" x14ac:dyDescent="0.25">
      <c r="D792" s="2"/>
    </row>
    <row r="793" spans="4:4" ht="13.2" x14ac:dyDescent="0.25">
      <c r="D793" s="2"/>
    </row>
    <row r="794" spans="4:4" ht="13.2" x14ac:dyDescent="0.25">
      <c r="D794" s="2"/>
    </row>
    <row r="795" spans="4:4" ht="13.2" x14ac:dyDescent="0.25">
      <c r="D795" s="2"/>
    </row>
    <row r="796" spans="4:4" ht="13.2" x14ac:dyDescent="0.25">
      <c r="D796" s="2"/>
    </row>
    <row r="797" spans="4:4" ht="13.2" x14ac:dyDescent="0.25">
      <c r="D797" s="2"/>
    </row>
    <row r="798" spans="4:4" ht="13.2" x14ac:dyDescent="0.25">
      <c r="D798" s="2"/>
    </row>
    <row r="799" spans="4:4" ht="13.2" x14ac:dyDescent="0.25">
      <c r="D799" s="2"/>
    </row>
    <row r="800" spans="4:4" ht="13.2" x14ac:dyDescent="0.25">
      <c r="D800" s="2"/>
    </row>
    <row r="801" spans="4:4" ht="13.2" x14ac:dyDescent="0.25">
      <c r="D801" s="2"/>
    </row>
    <row r="802" spans="4:4" ht="13.2" x14ac:dyDescent="0.25">
      <c r="D802" s="2"/>
    </row>
    <row r="803" spans="4:4" ht="13.2" x14ac:dyDescent="0.25">
      <c r="D803" s="2"/>
    </row>
    <row r="804" spans="4:4" ht="13.2" x14ac:dyDescent="0.25">
      <c r="D804" s="2"/>
    </row>
    <row r="805" spans="4:4" ht="13.2" x14ac:dyDescent="0.25">
      <c r="D805" s="2"/>
    </row>
    <row r="806" spans="4:4" ht="13.2" x14ac:dyDescent="0.25">
      <c r="D806" s="2"/>
    </row>
    <row r="807" spans="4:4" ht="13.2" x14ac:dyDescent="0.25">
      <c r="D807" s="2"/>
    </row>
    <row r="808" spans="4:4" ht="13.2" x14ac:dyDescent="0.25">
      <c r="D808" s="2"/>
    </row>
    <row r="809" spans="4:4" ht="13.2" x14ac:dyDescent="0.25">
      <c r="D809" s="2"/>
    </row>
    <row r="810" spans="4:4" ht="13.2" x14ac:dyDescent="0.25">
      <c r="D810" s="2"/>
    </row>
    <row r="811" spans="4:4" ht="13.2" x14ac:dyDescent="0.25">
      <c r="D811" s="2"/>
    </row>
    <row r="812" spans="4:4" ht="13.2" x14ac:dyDescent="0.25">
      <c r="D812" s="2"/>
    </row>
    <row r="813" spans="4:4" ht="13.2" x14ac:dyDescent="0.25">
      <c r="D813" s="2"/>
    </row>
    <row r="814" spans="4:4" ht="13.2" x14ac:dyDescent="0.25">
      <c r="D814" s="2"/>
    </row>
    <row r="815" spans="4:4" ht="13.2" x14ac:dyDescent="0.25">
      <c r="D815" s="2"/>
    </row>
    <row r="816" spans="4:4" ht="13.2" x14ac:dyDescent="0.25">
      <c r="D816" s="2"/>
    </row>
    <row r="817" spans="4:4" ht="13.2" x14ac:dyDescent="0.25">
      <c r="D817" s="2"/>
    </row>
    <row r="818" spans="4:4" ht="13.2" x14ac:dyDescent="0.25">
      <c r="D818" s="2"/>
    </row>
    <row r="819" spans="4:4" ht="13.2" x14ac:dyDescent="0.25">
      <c r="D819" s="2"/>
    </row>
    <row r="820" spans="4:4" ht="13.2" x14ac:dyDescent="0.25">
      <c r="D820" s="2"/>
    </row>
    <row r="821" spans="4:4" ht="13.2" x14ac:dyDescent="0.25">
      <c r="D821" s="2"/>
    </row>
    <row r="822" spans="4:4" ht="13.2" x14ac:dyDescent="0.25">
      <c r="D822" s="2"/>
    </row>
    <row r="823" spans="4:4" ht="13.2" x14ac:dyDescent="0.25">
      <c r="D823" s="2"/>
    </row>
    <row r="824" spans="4:4" ht="13.2" x14ac:dyDescent="0.25">
      <c r="D824" s="2"/>
    </row>
    <row r="825" spans="4:4" ht="13.2" x14ac:dyDescent="0.25">
      <c r="D825" s="2"/>
    </row>
    <row r="826" spans="4:4" ht="13.2" x14ac:dyDescent="0.25">
      <c r="D826" s="2"/>
    </row>
    <row r="827" spans="4:4" ht="13.2" x14ac:dyDescent="0.25">
      <c r="D827" s="2"/>
    </row>
    <row r="828" spans="4:4" ht="13.2" x14ac:dyDescent="0.25">
      <c r="D828" s="2"/>
    </row>
    <row r="829" spans="4:4" ht="13.2" x14ac:dyDescent="0.25">
      <c r="D829" s="2"/>
    </row>
    <row r="830" spans="4:4" ht="13.2" x14ac:dyDescent="0.25">
      <c r="D830" s="2"/>
    </row>
    <row r="831" spans="4:4" ht="13.2" x14ac:dyDescent="0.25">
      <c r="D831" s="2"/>
    </row>
    <row r="832" spans="4:4" ht="13.2" x14ac:dyDescent="0.25">
      <c r="D832" s="2"/>
    </row>
    <row r="833" spans="4:4" ht="13.2" x14ac:dyDescent="0.25">
      <c r="D833" s="2"/>
    </row>
    <row r="834" spans="4:4" ht="13.2" x14ac:dyDescent="0.25">
      <c r="D834" s="2"/>
    </row>
    <row r="835" spans="4:4" ht="13.2" x14ac:dyDescent="0.25">
      <c r="D835" s="2"/>
    </row>
    <row r="836" spans="4:4" ht="13.2" x14ac:dyDescent="0.25">
      <c r="D836" s="2"/>
    </row>
    <row r="837" spans="4:4" ht="13.2" x14ac:dyDescent="0.25">
      <c r="D837" s="2"/>
    </row>
    <row r="838" spans="4:4" ht="13.2" x14ac:dyDescent="0.25">
      <c r="D838" s="2"/>
    </row>
    <row r="839" spans="4:4" ht="13.2" x14ac:dyDescent="0.25">
      <c r="D839" s="2"/>
    </row>
    <row r="840" spans="4:4" ht="13.2" x14ac:dyDescent="0.25">
      <c r="D840" s="2"/>
    </row>
    <row r="841" spans="4:4" ht="13.2" x14ac:dyDescent="0.25">
      <c r="D841" s="2"/>
    </row>
    <row r="842" spans="4:4" ht="13.2" x14ac:dyDescent="0.25">
      <c r="D842" s="2"/>
    </row>
    <row r="843" spans="4:4" ht="13.2" x14ac:dyDescent="0.25">
      <c r="D843" s="2"/>
    </row>
    <row r="844" spans="4:4" ht="13.2" x14ac:dyDescent="0.25">
      <c r="D844" s="2"/>
    </row>
    <row r="845" spans="4:4" ht="13.2" x14ac:dyDescent="0.25">
      <c r="D845" s="2"/>
    </row>
    <row r="846" spans="4:4" ht="13.2" x14ac:dyDescent="0.25">
      <c r="D846" s="2"/>
    </row>
    <row r="847" spans="4:4" ht="13.2" x14ac:dyDescent="0.25">
      <c r="D847" s="2"/>
    </row>
    <row r="848" spans="4:4" ht="13.2" x14ac:dyDescent="0.25">
      <c r="D848" s="2"/>
    </row>
    <row r="849" spans="4:4" ht="13.2" x14ac:dyDescent="0.25">
      <c r="D849" s="2"/>
    </row>
    <row r="850" spans="4:4" ht="13.2" x14ac:dyDescent="0.25">
      <c r="D850" s="2"/>
    </row>
    <row r="851" spans="4:4" ht="13.2" x14ac:dyDescent="0.25">
      <c r="D851" s="2"/>
    </row>
    <row r="852" spans="4:4" ht="13.2" x14ac:dyDescent="0.25">
      <c r="D852" s="2"/>
    </row>
    <row r="853" spans="4:4" ht="13.2" x14ac:dyDescent="0.25">
      <c r="D853" s="2"/>
    </row>
    <row r="854" spans="4:4" ht="13.2" x14ac:dyDescent="0.25">
      <c r="D854" s="2"/>
    </row>
    <row r="855" spans="4:4" ht="13.2" x14ac:dyDescent="0.25">
      <c r="D855" s="2"/>
    </row>
    <row r="856" spans="4:4" ht="13.2" x14ac:dyDescent="0.25">
      <c r="D856" s="2"/>
    </row>
    <row r="857" spans="4:4" ht="13.2" x14ac:dyDescent="0.25">
      <c r="D857" s="2"/>
    </row>
    <row r="858" spans="4:4" ht="13.2" x14ac:dyDescent="0.25">
      <c r="D858" s="2"/>
    </row>
    <row r="859" spans="4:4" ht="13.2" x14ac:dyDescent="0.25">
      <c r="D859" s="2"/>
    </row>
    <row r="860" spans="4:4" ht="13.2" x14ac:dyDescent="0.25">
      <c r="D860" s="2"/>
    </row>
    <row r="861" spans="4:4" ht="13.2" x14ac:dyDescent="0.25">
      <c r="D861" s="2"/>
    </row>
    <row r="862" spans="4:4" ht="13.2" x14ac:dyDescent="0.25">
      <c r="D862" s="2"/>
    </row>
    <row r="863" spans="4:4" ht="13.2" x14ac:dyDescent="0.25">
      <c r="D863" s="2"/>
    </row>
    <row r="864" spans="4:4" ht="13.2" x14ac:dyDescent="0.25">
      <c r="D864" s="2"/>
    </row>
    <row r="865" spans="4:4" ht="13.2" x14ac:dyDescent="0.25">
      <c r="D865" s="2"/>
    </row>
    <row r="866" spans="4:4" ht="13.2" x14ac:dyDescent="0.25">
      <c r="D866" s="2"/>
    </row>
    <row r="867" spans="4:4" ht="13.2" x14ac:dyDescent="0.25">
      <c r="D867" s="2"/>
    </row>
    <row r="868" spans="4:4" ht="13.2" x14ac:dyDescent="0.25">
      <c r="D868" s="2"/>
    </row>
    <row r="869" spans="4:4" ht="13.2" x14ac:dyDescent="0.25">
      <c r="D869" s="2"/>
    </row>
    <row r="870" spans="4:4" ht="13.2" x14ac:dyDescent="0.25">
      <c r="D870" s="2"/>
    </row>
    <row r="871" spans="4:4" ht="13.2" x14ac:dyDescent="0.25">
      <c r="D871" s="2"/>
    </row>
    <row r="872" spans="4:4" ht="13.2" x14ac:dyDescent="0.25">
      <c r="D872" s="2"/>
    </row>
    <row r="873" spans="4:4" ht="13.2" x14ac:dyDescent="0.25">
      <c r="D873" s="2"/>
    </row>
    <row r="874" spans="4:4" ht="13.2" x14ac:dyDescent="0.25">
      <c r="D874" s="2"/>
    </row>
    <row r="875" spans="4:4" ht="13.2" x14ac:dyDescent="0.25">
      <c r="D875" s="2"/>
    </row>
    <row r="876" spans="4:4" ht="13.2" x14ac:dyDescent="0.25">
      <c r="D876" s="2"/>
    </row>
    <row r="877" spans="4:4" ht="13.2" x14ac:dyDescent="0.25">
      <c r="D877" s="2"/>
    </row>
    <row r="878" spans="4:4" ht="13.2" x14ac:dyDescent="0.25">
      <c r="D878" s="2"/>
    </row>
    <row r="879" spans="4:4" ht="13.2" x14ac:dyDescent="0.25">
      <c r="D879" s="2"/>
    </row>
    <row r="880" spans="4:4" ht="13.2" x14ac:dyDescent="0.25">
      <c r="D880" s="2"/>
    </row>
    <row r="881" spans="4:4" ht="13.2" x14ac:dyDescent="0.25">
      <c r="D881" s="2"/>
    </row>
    <row r="882" spans="4:4" ht="13.2" x14ac:dyDescent="0.25">
      <c r="D882" s="2"/>
    </row>
    <row r="883" spans="4:4" ht="13.2" x14ac:dyDescent="0.25">
      <c r="D883" s="2"/>
    </row>
    <row r="884" spans="4:4" ht="13.2" x14ac:dyDescent="0.25">
      <c r="D884" s="2"/>
    </row>
    <row r="885" spans="4:4" ht="13.2" x14ac:dyDescent="0.25">
      <c r="D885" s="2"/>
    </row>
    <row r="886" spans="4:4" ht="13.2" x14ac:dyDescent="0.25">
      <c r="D886" s="2"/>
    </row>
    <row r="887" spans="4:4" ht="13.2" x14ac:dyDescent="0.25">
      <c r="D887" s="2"/>
    </row>
    <row r="888" spans="4:4" ht="13.2" x14ac:dyDescent="0.25">
      <c r="D888" s="2"/>
    </row>
    <row r="889" spans="4:4" ht="13.2" x14ac:dyDescent="0.25">
      <c r="D889" s="2"/>
    </row>
    <row r="890" spans="4:4" ht="13.2" x14ac:dyDescent="0.25">
      <c r="D890" s="2"/>
    </row>
    <row r="891" spans="4:4" ht="13.2" x14ac:dyDescent="0.25">
      <c r="D891" s="2"/>
    </row>
    <row r="892" spans="4:4" ht="13.2" x14ac:dyDescent="0.25">
      <c r="D892" s="2"/>
    </row>
    <row r="893" spans="4:4" ht="13.2" x14ac:dyDescent="0.25">
      <c r="D893" s="2"/>
    </row>
    <row r="894" spans="4:4" ht="13.2" x14ac:dyDescent="0.25">
      <c r="D894" s="2"/>
    </row>
    <row r="895" spans="4:4" ht="13.2" x14ac:dyDescent="0.25">
      <c r="D895" s="2"/>
    </row>
    <row r="896" spans="4:4" ht="13.2" x14ac:dyDescent="0.25">
      <c r="D896" s="2"/>
    </row>
    <row r="897" spans="4:4" ht="13.2" x14ac:dyDescent="0.25">
      <c r="D897" s="2"/>
    </row>
    <row r="898" spans="4:4" ht="13.2" x14ac:dyDescent="0.25">
      <c r="D898" s="2"/>
    </row>
    <row r="899" spans="4:4" ht="13.2" x14ac:dyDescent="0.25">
      <c r="D899" s="2"/>
    </row>
    <row r="900" spans="4:4" ht="13.2" x14ac:dyDescent="0.25">
      <c r="D900" s="2"/>
    </row>
    <row r="901" spans="4:4" ht="13.2" x14ac:dyDescent="0.25">
      <c r="D901" s="2"/>
    </row>
    <row r="902" spans="4:4" ht="13.2" x14ac:dyDescent="0.25">
      <c r="D902" s="2"/>
    </row>
    <row r="903" spans="4:4" ht="13.2" x14ac:dyDescent="0.25">
      <c r="D903" s="2"/>
    </row>
    <row r="904" spans="4:4" ht="13.2" x14ac:dyDescent="0.25">
      <c r="D904" s="2"/>
    </row>
    <row r="905" spans="4:4" ht="13.2" x14ac:dyDescent="0.25">
      <c r="D905" s="2"/>
    </row>
    <row r="906" spans="4:4" ht="13.2" x14ac:dyDescent="0.25">
      <c r="D906" s="2"/>
    </row>
    <row r="907" spans="4:4" ht="13.2" x14ac:dyDescent="0.25">
      <c r="D907" s="2"/>
    </row>
    <row r="908" spans="4:4" ht="13.2" x14ac:dyDescent="0.25">
      <c r="D908" s="2"/>
    </row>
    <row r="909" spans="4:4" ht="13.2" x14ac:dyDescent="0.25">
      <c r="D909" s="2"/>
    </row>
    <row r="910" spans="4:4" ht="13.2" x14ac:dyDescent="0.25">
      <c r="D910" s="2"/>
    </row>
    <row r="911" spans="4:4" ht="13.2" x14ac:dyDescent="0.25">
      <c r="D911" s="2"/>
    </row>
    <row r="912" spans="4:4" ht="13.2" x14ac:dyDescent="0.25">
      <c r="D912" s="2"/>
    </row>
    <row r="913" spans="4:4" ht="13.2" x14ac:dyDescent="0.25">
      <c r="D913" s="2"/>
    </row>
    <row r="914" spans="4:4" ht="13.2" x14ac:dyDescent="0.25">
      <c r="D914" s="2"/>
    </row>
    <row r="915" spans="4:4" ht="13.2" x14ac:dyDescent="0.25">
      <c r="D915" s="2"/>
    </row>
    <row r="916" spans="4:4" ht="13.2" x14ac:dyDescent="0.25">
      <c r="D916" s="2"/>
    </row>
    <row r="917" spans="4:4" ht="13.2" x14ac:dyDescent="0.25">
      <c r="D917" s="2"/>
    </row>
    <row r="918" spans="4:4" ht="13.2" x14ac:dyDescent="0.25">
      <c r="D918" s="2"/>
    </row>
    <row r="919" spans="4:4" ht="13.2" x14ac:dyDescent="0.25">
      <c r="D919" s="2"/>
    </row>
    <row r="920" spans="4:4" ht="13.2" x14ac:dyDescent="0.25">
      <c r="D920" s="2"/>
    </row>
    <row r="921" spans="4:4" ht="13.2" x14ac:dyDescent="0.25">
      <c r="D921" s="2"/>
    </row>
    <row r="922" spans="4:4" ht="13.2" x14ac:dyDescent="0.25">
      <c r="D922" s="2"/>
    </row>
    <row r="923" spans="4:4" ht="13.2" x14ac:dyDescent="0.25">
      <c r="D923" s="2"/>
    </row>
    <row r="924" spans="4:4" ht="13.2" x14ac:dyDescent="0.25">
      <c r="D924" s="2"/>
    </row>
    <row r="925" spans="4:4" ht="13.2" x14ac:dyDescent="0.25">
      <c r="D925" s="2"/>
    </row>
    <row r="926" spans="4:4" ht="13.2" x14ac:dyDescent="0.25">
      <c r="D926" s="2"/>
    </row>
    <row r="927" spans="4:4" ht="13.2" x14ac:dyDescent="0.25">
      <c r="D927" s="2"/>
    </row>
    <row r="928" spans="4:4" ht="13.2" x14ac:dyDescent="0.25">
      <c r="D928" s="2"/>
    </row>
    <row r="929" spans="4:4" ht="13.2" x14ac:dyDescent="0.25">
      <c r="D929" s="2"/>
    </row>
    <row r="930" spans="4:4" ht="13.2" x14ac:dyDescent="0.25">
      <c r="D930" s="2"/>
    </row>
    <row r="931" spans="4:4" ht="13.2" x14ac:dyDescent="0.25">
      <c r="D931" s="2"/>
    </row>
    <row r="932" spans="4:4" ht="13.2" x14ac:dyDescent="0.25">
      <c r="D932" s="2"/>
    </row>
    <row r="933" spans="4:4" ht="13.2" x14ac:dyDescent="0.25">
      <c r="D933" s="2"/>
    </row>
    <row r="934" spans="4:4" ht="13.2" x14ac:dyDescent="0.25">
      <c r="D934" s="2"/>
    </row>
    <row r="935" spans="4:4" ht="13.2" x14ac:dyDescent="0.25">
      <c r="D935" s="2"/>
    </row>
    <row r="936" spans="4:4" ht="13.2" x14ac:dyDescent="0.25">
      <c r="D936" s="2"/>
    </row>
    <row r="937" spans="4:4" ht="13.2" x14ac:dyDescent="0.25">
      <c r="D937" s="2"/>
    </row>
    <row r="938" spans="4:4" ht="13.2" x14ac:dyDescent="0.25">
      <c r="D938" s="2"/>
    </row>
    <row r="939" spans="4:4" ht="13.2" x14ac:dyDescent="0.25">
      <c r="D939" s="2"/>
    </row>
    <row r="940" spans="4:4" ht="13.2" x14ac:dyDescent="0.25">
      <c r="D940" s="2"/>
    </row>
    <row r="941" spans="4:4" ht="13.2" x14ac:dyDescent="0.25">
      <c r="D941" s="2"/>
    </row>
    <row r="942" spans="4:4" ht="13.2" x14ac:dyDescent="0.25">
      <c r="D942" s="2"/>
    </row>
    <row r="943" spans="4:4" ht="13.2" x14ac:dyDescent="0.25">
      <c r="D943" s="2"/>
    </row>
    <row r="944" spans="4:4" ht="13.2" x14ac:dyDescent="0.25">
      <c r="D944" s="2"/>
    </row>
    <row r="945" spans="4:4" ht="13.2" x14ac:dyDescent="0.25">
      <c r="D945" s="2"/>
    </row>
    <row r="946" spans="4:4" ht="13.2" x14ac:dyDescent="0.25">
      <c r="D946" s="2"/>
    </row>
    <row r="947" spans="4:4" ht="13.2" x14ac:dyDescent="0.25">
      <c r="D947" s="2"/>
    </row>
    <row r="948" spans="4:4" ht="13.2" x14ac:dyDescent="0.25">
      <c r="D948" s="2"/>
    </row>
    <row r="949" spans="4:4" ht="13.2" x14ac:dyDescent="0.25">
      <c r="D949" s="2"/>
    </row>
    <row r="950" spans="4:4" ht="13.2" x14ac:dyDescent="0.25">
      <c r="D950" s="2"/>
    </row>
    <row r="951" spans="4:4" ht="13.2" x14ac:dyDescent="0.25">
      <c r="D951" s="2"/>
    </row>
    <row r="952" spans="4:4" ht="13.2" x14ac:dyDescent="0.25">
      <c r="D952" s="2"/>
    </row>
    <row r="953" spans="4:4" ht="13.2" x14ac:dyDescent="0.25">
      <c r="D953" s="2"/>
    </row>
    <row r="954" spans="4:4" ht="13.2" x14ac:dyDescent="0.25">
      <c r="D954" s="2"/>
    </row>
    <row r="955" spans="4:4" ht="13.2" x14ac:dyDescent="0.25">
      <c r="D955" s="2"/>
    </row>
    <row r="956" spans="4:4" ht="13.2" x14ac:dyDescent="0.25">
      <c r="D956" s="2"/>
    </row>
    <row r="957" spans="4:4" ht="13.2" x14ac:dyDescent="0.25">
      <c r="D957" s="2"/>
    </row>
    <row r="958" spans="4:4" ht="13.2" x14ac:dyDescent="0.25">
      <c r="D958" s="2"/>
    </row>
    <row r="959" spans="4:4" ht="13.2" x14ac:dyDescent="0.25">
      <c r="D959" s="2"/>
    </row>
    <row r="960" spans="4:4" ht="13.2" x14ac:dyDescent="0.25">
      <c r="D960" s="2"/>
    </row>
    <row r="961" spans="4:4" ht="13.2" x14ac:dyDescent="0.25">
      <c r="D961" s="2"/>
    </row>
    <row r="962" spans="4:4" ht="13.2" x14ac:dyDescent="0.25">
      <c r="D962" s="2"/>
    </row>
    <row r="963" spans="4:4" ht="13.2" x14ac:dyDescent="0.25">
      <c r="D963" s="2"/>
    </row>
    <row r="964" spans="4:4" ht="13.2" x14ac:dyDescent="0.25">
      <c r="D964" s="2"/>
    </row>
    <row r="965" spans="4:4" ht="13.2" x14ac:dyDescent="0.25">
      <c r="D965" s="2"/>
    </row>
    <row r="966" spans="4:4" ht="13.2" x14ac:dyDescent="0.25">
      <c r="D966" s="2"/>
    </row>
    <row r="967" spans="4:4" ht="13.2" x14ac:dyDescent="0.25">
      <c r="D967" s="2"/>
    </row>
    <row r="968" spans="4:4" ht="13.2" x14ac:dyDescent="0.25">
      <c r="D968" s="2"/>
    </row>
    <row r="969" spans="4:4" ht="13.2" x14ac:dyDescent="0.25">
      <c r="D969" s="2"/>
    </row>
    <row r="970" spans="4:4" ht="13.2" x14ac:dyDescent="0.25">
      <c r="D970" s="2"/>
    </row>
    <row r="971" spans="4:4" ht="13.2" x14ac:dyDescent="0.25">
      <c r="D971" s="2"/>
    </row>
    <row r="972" spans="4:4" ht="13.2" x14ac:dyDescent="0.25">
      <c r="D972" s="2"/>
    </row>
    <row r="973" spans="4:4" ht="13.2" x14ac:dyDescent="0.25">
      <c r="D973" s="2"/>
    </row>
    <row r="974" spans="4:4" ht="13.2" x14ac:dyDescent="0.25">
      <c r="D974" s="2"/>
    </row>
    <row r="975" spans="4:4" ht="13.2" x14ac:dyDescent="0.25">
      <c r="D975" s="2"/>
    </row>
    <row r="976" spans="4:4" ht="13.2" x14ac:dyDescent="0.25">
      <c r="D976" s="2"/>
    </row>
    <row r="977" spans="4:4" ht="13.2" x14ac:dyDescent="0.25">
      <c r="D977" s="2"/>
    </row>
    <row r="978" spans="4:4" ht="13.2" x14ac:dyDescent="0.25">
      <c r="D978" s="2"/>
    </row>
    <row r="979" spans="4:4" ht="13.2" x14ac:dyDescent="0.25">
      <c r="D979" s="2"/>
    </row>
    <row r="980" spans="4:4" ht="13.2" x14ac:dyDescent="0.25">
      <c r="D980" s="2"/>
    </row>
    <row r="981" spans="4:4" ht="13.2" x14ac:dyDescent="0.25">
      <c r="D981" s="2"/>
    </row>
    <row r="982" spans="4:4" ht="13.2" x14ac:dyDescent="0.25">
      <c r="D982" s="2"/>
    </row>
    <row r="983" spans="4:4" ht="13.2" x14ac:dyDescent="0.25">
      <c r="D983" s="2"/>
    </row>
    <row r="984" spans="4:4" ht="13.2" x14ac:dyDescent="0.25">
      <c r="D984" s="2"/>
    </row>
    <row r="985" spans="4:4" ht="13.2" x14ac:dyDescent="0.25">
      <c r="D985" s="2"/>
    </row>
    <row r="986" spans="4:4" ht="13.2" x14ac:dyDescent="0.25">
      <c r="D986" s="2"/>
    </row>
    <row r="987" spans="4:4" ht="13.2" x14ac:dyDescent="0.25">
      <c r="D987" s="2"/>
    </row>
    <row r="988" spans="4:4" ht="13.2" x14ac:dyDescent="0.25">
      <c r="D988" s="2"/>
    </row>
    <row r="989" spans="4:4" ht="13.2" x14ac:dyDescent="0.25">
      <c r="D989" s="2"/>
    </row>
    <row r="990" spans="4:4" ht="13.2" x14ac:dyDescent="0.25">
      <c r="D990" s="2"/>
    </row>
    <row r="991" spans="4:4" ht="13.2" x14ac:dyDescent="0.25">
      <c r="D991" s="2"/>
    </row>
    <row r="992" spans="4:4" ht="13.2" x14ac:dyDescent="0.25">
      <c r="D992" s="2"/>
    </row>
    <row r="993" spans="4:4" ht="13.2" x14ac:dyDescent="0.25">
      <c r="D993" s="2"/>
    </row>
    <row r="994" spans="4:4" ht="13.2" x14ac:dyDescent="0.25">
      <c r="D994" s="2"/>
    </row>
    <row r="995" spans="4:4" ht="13.2" x14ac:dyDescent="0.25">
      <c r="D995" s="2"/>
    </row>
    <row r="996" spans="4:4" ht="13.2" x14ac:dyDescent="0.25">
      <c r="D996" s="2"/>
    </row>
    <row r="997" spans="4:4" ht="13.2" x14ac:dyDescent="0.25">
      <c r="D997" s="2"/>
    </row>
    <row r="998" spans="4:4" ht="13.2" x14ac:dyDescent="0.25">
      <c r="D998" s="2"/>
    </row>
    <row r="999" spans="4:4" ht="13.2" x14ac:dyDescent="0.25">
      <c r="D999" s="2"/>
    </row>
    <row r="1000" spans="4:4" ht="13.2" x14ac:dyDescent="0.25">
      <c r="D1000" s="2"/>
    </row>
    <row r="1001" spans="4:4" ht="13.2" x14ac:dyDescent="0.25">
      <c r="D1001" s="2"/>
    </row>
    <row r="1002" spans="4:4" ht="13.2" x14ac:dyDescent="0.25">
      <c r="D1002" s="2"/>
    </row>
    <row r="1003" spans="4:4" ht="13.2" x14ac:dyDescent="0.25">
      <c r="D1003" s="2"/>
    </row>
    <row r="1004" spans="4:4" ht="13.2" x14ac:dyDescent="0.25">
      <c r="D1004" s="2"/>
    </row>
    <row r="1005" spans="4:4" ht="13.2" x14ac:dyDescent="0.25">
      <c r="D1005" s="2"/>
    </row>
    <row r="1006" spans="4:4" ht="13.2" x14ac:dyDescent="0.25">
      <c r="D1006" s="2"/>
    </row>
    <row r="1007" spans="4:4" ht="13.2" x14ac:dyDescent="0.25">
      <c r="D1007" s="2"/>
    </row>
    <row r="1008" spans="4:4" ht="13.2" x14ac:dyDescent="0.25">
      <c r="D1008" s="2"/>
    </row>
    <row r="1009" spans="4:4" ht="13.2" x14ac:dyDescent="0.25">
      <c r="D1009" s="2"/>
    </row>
    <row r="1010" spans="4:4" ht="13.2" x14ac:dyDescent="0.25">
      <c r="D1010" s="2"/>
    </row>
    <row r="1011" spans="4:4" ht="13.2" x14ac:dyDescent="0.25">
      <c r="D1011" s="2"/>
    </row>
    <row r="1012" spans="4:4" ht="13.2" x14ac:dyDescent="0.25">
      <c r="D1012" s="2"/>
    </row>
    <row r="1013" spans="4:4" ht="13.2" x14ac:dyDescent="0.25">
      <c r="D1013" s="2"/>
    </row>
    <row r="1014" spans="4:4" ht="13.2" x14ac:dyDescent="0.25">
      <c r="D1014" s="2"/>
    </row>
    <row r="1015" spans="4:4" ht="13.2" x14ac:dyDescent="0.25">
      <c r="D1015" s="2"/>
    </row>
    <row r="1016" spans="4:4" ht="13.2" x14ac:dyDescent="0.25">
      <c r="D1016" s="2"/>
    </row>
    <row r="1017" spans="4:4" ht="13.2" x14ac:dyDescent="0.25">
      <c r="D1017" s="2"/>
    </row>
    <row r="1018" spans="4:4" ht="13.2" x14ac:dyDescent="0.25">
      <c r="D1018" s="2"/>
    </row>
    <row r="1019" spans="4:4" ht="13.2" x14ac:dyDescent="0.25">
      <c r="D1019" s="2"/>
    </row>
    <row r="1020" spans="4:4" ht="13.2" x14ac:dyDescent="0.25">
      <c r="D1020" s="2"/>
    </row>
    <row r="1021" spans="4:4" ht="13.2" x14ac:dyDescent="0.25">
      <c r="D1021" s="2"/>
    </row>
    <row r="1022" spans="4:4" ht="13.2" x14ac:dyDescent="0.25">
      <c r="D1022" s="2"/>
    </row>
    <row r="1023" spans="4:4" ht="13.2" x14ac:dyDescent="0.25">
      <c r="D1023" s="2"/>
    </row>
    <row r="1024" spans="4:4" ht="13.2" x14ac:dyDescent="0.25">
      <c r="D1024" s="2"/>
    </row>
    <row r="1025" spans="4:4" ht="13.2" x14ac:dyDescent="0.25">
      <c r="D1025" s="2"/>
    </row>
  </sheetData>
  <mergeCells count="26">
    <mergeCell ref="B5:B9"/>
    <mergeCell ref="B11:B15"/>
    <mergeCell ref="B17:B21"/>
    <mergeCell ref="B23:B27"/>
    <mergeCell ref="B29:B33"/>
    <mergeCell ref="B35:B39"/>
    <mergeCell ref="B41:B45"/>
    <mergeCell ref="B47:B51"/>
    <mergeCell ref="B53:B57"/>
    <mergeCell ref="B59:B63"/>
    <mergeCell ref="B65:B69"/>
    <mergeCell ref="B71:B75"/>
    <mergeCell ref="B77:B81"/>
    <mergeCell ref="B83:B87"/>
    <mergeCell ref="B131:B135"/>
    <mergeCell ref="B137:B141"/>
    <mergeCell ref="B143:B147"/>
    <mergeCell ref="B149:B153"/>
    <mergeCell ref="B155:B159"/>
    <mergeCell ref="B89:B93"/>
    <mergeCell ref="B95:B99"/>
    <mergeCell ref="B101:B105"/>
    <mergeCell ref="B107:B111"/>
    <mergeCell ref="B113:B117"/>
    <mergeCell ref="B119:B123"/>
    <mergeCell ref="B125:B1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M1025"/>
  <sheetViews>
    <sheetView topLeftCell="C1" workbookViewId="0">
      <selection activeCell="M7" sqref="M7"/>
    </sheetView>
  </sheetViews>
  <sheetFormatPr defaultColWidth="12.6640625" defaultRowHeight="15.75" customHeight="1" x14ac:dyDescent="0.25"/>
  <cols>
    <col min="1" max="1" width="7.88671875" customWidth="1"/>
    <col min="4" max="4" width="19.6640625" customWidth="1"/>
    <col min="5" max="5" width="20.6640625" hidden="1" customWidth="1"/>
    <col min="6" max="6" width="21.109375" hidden="1" customWidth="1"/>
    <col min="7" max="7" width="21.109375" customWidth="1"/>
    <col min="8" max="8" width="21.33203125" customWidth="1"/>
  </cols>
  <sheetData>
    <row r="1" spans="1:13" ht="13.2" x14ac:dyDescent="0.25">
      <c r="A1" s="1"/>
      <c r="D1" s="18"/>
      <c r="E1" s="18"/>
      <c r="F1" s="25"/>
      <c r="G1" s="25"/>
      <c r="H1" s="26"/>
    </row>
    <row r="2" spans="1:13" ht="13.8" thickBot="1" x14ac:dyDescent="0.3">
      <c r="D2" s="18"/>
      <c r="E2" s="18"/>
      <c r="F2" s="25"/>
      <c r="G2" s="25"/>
      <c r="H2" s="26"/>
    </row>
    <row r="3" spans="1:13" ht="14.4" thickBot="1" x14ac:dyDescent="0.3">
      <c r="B3" s="42" t="s">
        <v>6</v>
      </c>
      <c r="C3" s="42" t="s">
        <v>7</v>
      </c>
      <c r="D3" s="50" t="s">
        <v>198</v>
      </c>
      <c r="E3" s="50" t="s">
        <v>199</v>
      </c>
      <c r="F3" s="50" t="s">
        <v>200</v>
      </c>
      <c r="G3" s="50" t="s">
        <v>223</v>
      </c>
      <c r="H3" s="47" t="s">
        <v>201</v>
      </c>
      <c r="J3" s="19" t="s">
        <v>194</v>
      </c>
    </row>
    <row r="4" spans="1:13" ht="14.4" thickBot="1" x14ac:dyDescent="0.3">
      <c r="B4" s="115" t="s">
        <v>18</v>
      </c>
      <c r="C4" s="43">
        <v>2018</v>
      </c>
      <c r="D4" s="52">
        <f>67227658*14553</f>
        <v>978364106874</v>
      </c>
      <c r="E4" s="68">
        <f>1042673806*L4</f>
        <v>14197046542496</v>
      </c>
      <c r="F4" s="52">
        <f>851949796*14553</f>
        <v>12398425381188</v>
      </c>
      <c r="G4" s="52">
        <f>SUM(E4:F4)/2</f>
        <v>13297735961842</v>
      </c>
      <c r="H4" s="44">
        <f>D4/G4</f>
        <v>7.3573735384837427E-2</v>
      </c>
      <c r="J4" s="20">
        <v>14553</v>
      </c>
      <c r="K4" s="5">
        <v>2018</v>
      </c>
      <c r="L4" s="27">
        <v>13616</v>
      </c>
      <c r="M4" s="5">
        <v>2017</v>
      </c>
    </row>
    <row r="5" spans="1:13" ht="14.4" thickBot="1" x14ac:dyDescent="0.3">
      <c r="B5" s="116"/>
      <c r="C5" s="43">
        <v>2019</v>
      </c>
      <c r="D5" s="56">
        <f>3893964*13970</f>
        <v>54398677080</v>
      </c>
      <c r="E5" s="52">
        <f t="shared" ref="E5:E8" si="0">F4</f>
        <v>12398425381188</v>
      </c>
      <c r="F5" s="52">
        <f>854228765*13970</f>
        <v>11933575847050</v>
      </c>
      <c r="G5" s="52">
        <f t="shared" ref="G5:G70" si="1">SUM(E5:F5)/2</f>
        <v>12166000614119</v>
      </c>
      <c r="H5" s="44">
        <f t="shared" ref="H5:H68" si="2">D5/G5</f>
        <v>4.4713689243833128E-3</v>
      </c>
      <c r="J5" s="21">
        <v>13970</v>
      </c>
      <c r="K5" s="5">
        <v>2019</v>
      </c>
    </row>
    <row r="6" spans="1:13" ht="14.4" thickBot="1" x14ac:dyDescent="0.3">
      <c r="B6" s="116"/>
      <c r="C6" s="43">
        <v>2020</v>
      </c>
      <c r="D6" s="52">
        <f>-37740064*14175</f>
        <v>-534965407200</v>
      </c>
      <c r="E6" s="52">
        <f t="shared" si="0"/>
        <v>11933575847050</v>
      </c>
      <c r="F6" s="52">
        <f>827237179*14175</f>
        <v>11726087012325</v>
      </c>
      <c r="G6" s="52">
        <f t="shared" si="1"/>
        <v>11829831429687.5</v>
      </c>
      <c r="H6" s="44">
        <f t="shared" si="2"/>
        <v>-4.5221726985684683E-2</v>
      </c>
      <c r="J6" s="21">
        <v>14175</v>
      </c>
      <c r="K6" s="5">
        <v>2020</v>
      </c>
    </row>
    <row r="7" spans="1:13" ht="14.4" thickBot="1" x14ac:dyDescent="0.3">
      <c r="B7" s="116"/>
      <c r="C7" s="43">
        <v>2021</v>
      </c>
      <c r="D7" s="52">
        <f>186183903*14340</f>
        <v>2669877169020</v>
      </c>
      <c r="E7" s="52">
        <f t="shared" si="0"/>
        <v>11726087012325</v>
      </c>
      <c r="F7" s="52">
        <f>1036704159*14340</f>
        <v>14866337640060</v>
      </c>
      <c r="G7" s="52">
        <f t="shared" si="1"/>
        <v>13296212326192.5</v>
      </c>
      <c r="H7" s="44">
        <f t="shared" si="2"/>
        <v>0.2007998295695497</v>
      </c>
      <c r="J7" s="21">
        <v>14340</v>
      </c>
      <c r="K7" s="5">
        <v>2021</v>
      </c>
    </row>
    <row r="8" spans="1:13" ht="14.4" thickBot="1" x14ac:dyDescent="0.3">
      <c r="B8" s="116"/>
      <c r="C8" s="43">
        <v>2022</v>
      </c>
      <c r="D8" s="52">
        <f>341903507*15809</f>
        <v>5405152542163</v>
      </c>
      <c r="E8" s="52">
        <f t="shared" si="0"/>
        <v>14866337640060</v>
      </c>
      <c r="F8" s="52">
        <f>1982578564*15809</f>
        <v>31342584518276</v>
      </c>
      <c r="G8" s="52">
        <f t="shared" si="1"/>
        <v>23104461079168</v>
      </c>
      <c r="H8" s="44">
        <f t="shared" si="2"/>
        <v>0.23394410818075836</v>
      </c>
      <c r="J8" s="21">
        <v>15809</v>
      </c>
      <c r="K8" s="5">
        <v>2022</v>
      </c>
    </row>
    <row r="9" spans="1:13" s="38" customFormat="1" ht="14.4" thickBot="1" x14ac:dyDescent="0.3">
      <c r="B9" s="46"/>
      <c r="C9" s="42" t="s">
        <v>219</v>
      </c>
      <c r="D9" s="50">
        <f>SUM(D4:D8)/5</f>
        <v>1714565417587.3999</v>
      </c>
      <c r="E9" s="50"/>
      <c r="F9" s="50"/>
      <c r="G9" s="50">
        <f>SUM(G4:G8)/5</f>
        <v>14738848282201.801</v>
      </c>
      <c r="H9" s="67">
        <f>SUM(H4:H8)/5</f>
        <v>9.3513463014768816E-2</v>
      </c>
    </row>
    <row r="10" spans="1:13" ht="14.4" thickBot="1" x14ac:dyDescent="0.3">
      <c r="B10" s="115" t="s">
        <v>39</v>
      </c>
      <c r="C10" s="43">
        <v>2018</v>
      </c>
      <c r="D10" s="52">
        <v>1596652821000</v>
      </c>
      <c r="E10" s="52">
        <v>16823208531000</v>
      </c>
      <c r="F10" s="52">
        <v>19940850599000</v>
      </c>
      <c r="G10" s="52">
        <f t="shared" si="1"/>
        <v>18382029565000</v>
      </c>
      <c r="H10" s="44">
        <f t="shared" si="2"/>
        <v>8.6859441464509468E-2</v>
      </c>
    </row>
    <row r="11" spans="1:13" ht="14.4" thickBot="1" x14ac:dyDescent="0.3">
      <c r="B11" s="116"/>
      <c r="C11" s="43">
        <v>2019</v>
      </c>
      <c r="D11" s="52">
        <v>703077279000</v>
      </c>
      <c r="E11" s="52">
        <f t="shared" ref="E11:E14" si="3">F10</f>
        <v>19940850599000</v>
      </c>
      <c r="F11" s="52">
        <v>21409046173000</v>
      </c>
      <c r="G11" s="52">
        <f t="shared" si="1"/>
        <v>20674948386000</v>
      </c>
      <c r="H11" s="44">
        <f t="shared" si="2"/>
        <v>3.4006241073669979E-2</v>
      </c>
    </row>
    <row r="12" spans="1:13" ht="14.4" thickBot="1" x14ac:dyDescent="0.3">
      <c r="B12" s="116"/>
      <c r="C12" s="43">
        <v>2020</v>
      </c>
      <c r="D12" s="52">
        <v>961997313000</v>
      </c>
      <c r="E12" s="52">
        <f t="shared" si="3"/>
        <v>21409046173000</v>
      </c>
      <c r="F12" s="52">
        <v>18683572815000</v>
      </c>
      <c r="G12" s="52">
        <f t="shared" si="1"/>
        <v>20046309494000</v>
      </c>
      <c r="H12" s="44">
        <f t="shared" si="2"/>
        <v>4.798874891600035E-2</v>
      </c>
    </row>
    <row r="13" spans="1:13" ht="14.4" thickBot="1" x14ac:dyDescent="0.3">
      <c r="B13" s="116"/>
      <c r="C13" s="43">
        <v>2021</v>
      </c>
      <c r="D13" s="52">
        <v>12209620623000</v>
      </c>
      <c r="E13" s="52">
        <f t="shared" si="3"/>
        <v>18683572815000</v>
      </c>
      <c r="F13" s="52">
        <v>23508585736000</v>
      </c>
      <c r="G13" s="52">
        <f t="shared" si="1"/>
        <v>21096079275500</v>
      </c>
      <c r="H13" s="44">
        <f t="shared" si="2"/>
        <v>0.57876254936051941</v>
      </c>
    </row>
    <row r="14" spans="1:13" ht="14.4" thickBot="1" x14ac:dyDescent="0.3">
      <c r="B14" s="116"/>
      <c r="C14" s="43">
        <v>2022</v>
      </c>
      <c r="D14" s="52">
        <v>14032797261000</v>
      </c>
      <c r="E14" s="52">
        <f t="shared" si="3"/>
        <v>23508585736000</v>
      </c>
      <c r="F14" s="52">
        <v>27187608036000</v>
      </c>
      <c r="G14" s="52">
        <f t="shared" si="1"/>
        <v>25348096886000</v>
      </c>
      <c r="H14" s="44">
        <f t="shared" si="2"/>
        <v>0.55360358310569857</v>
      </c>
    </row>
    <row r="15" spans="1:13" s="38" customFormat="1" ht="14.4" thickBot="1" x14ac:dyDescent="0.3">
      <c r="B15" s="46"/>
      <c r="C15" s="42" t="s">
        <v>219</v>
      </c>
      <c r="D15" s="50">
        <f>SUM(D10:D14)/5</f>
        <v>5900829059400</v>
      </c>
      <c r="E15" s="50"/>
      <c r="F15" s="50"/>
      <c r="G15" s="50">
        <f>SUM(G10:G14)/5</f>
        <v>21109492721300</v>
      </c>
      <c r="H15" s="67">
        <f>SUM(H10:H14)/5</f>
        <v>0.26024411278407955</v>
      </c>
    </row>
    <row r="16" spans="1:13" ht="14.4" thickBot="1" x14ac:dyDescent="0.3">
      <c r="B16" s="115" t="s">
        <v>60</v>
      </c>
      <c r="C16" s="43">
        <v>2018</v>
      </c>
      <c r="D16" s="52">
        <f>158218349*L4</f>
        <v>2154301039984</v>
      </c>
      <c r="E16" s="68">
        <f>3696498624*L4</f>
        <v>50331525264384</v>
      </c>
      <c r="F16" s="52">
        <f>3906773939*14553</f>
        <v>56855281134267</v>
      </c>
      <c r="G16" s="52">
        <f t="shared" si="1"/>
        <v>53593403199325.5</v>
      </c>
      <c r="H16" s="44">
        <f t="shared" si="2"/>
        <v>4.0197130829174754E-2</v>
      </c>
    </row>
    <row r="17" spans="2:8" ht="14.4" thickBot="1" x14ac:dyDescent="0.3">
      <c r="B17" s="116"/>
      <c r="C17" s="43">
        <v>2019</v>
      </c>
      <c r="D17" s="52">
        <f>9470482*13970</f>
        <v>132302633540</v>
      </c>
      <c r="E17" s="52">
        <f t="shared" ref="E17:E20" si="4">F16</f>
        <v>56855281134267</v>
      </c>
      <c r="F17" s="52">
        <f>3702805778*13970</f>
        <v>51728196718660</v>
      </c>
      <c r="G17" s="52">
        <f t="shared" si="1"/>
        <v>54291738926463.5</v>
      </c>
      <c r="H17" s="44">
        <f t="shared" si="2"/>
        <v>2.4368833298782319E-3</v>
      </c>
    </row>
    <row r="18" spans="2:8" ht="14.4" thickBot="1" x14ac:dyDescent="0.3">
      <c r="B18" s="116"/>
      <c r="C18" s="43">
        <v>2020</v>
      </c>
      <c r="D18" s="52">
        <f>-337350969*14175</f>
        <v>-4781949985575</v>
      </c>
      <c r="E18" s="52">
        <f t="shared" si="4"/>
        <v>51728196718660</v>
      </c>
      <c r="F18" s="52">
        <f>3428550327*14175</f>
        <v>48599700885225</v>
      </c>
      <c r="G18" s="52">
        <f t="shared" si="1"/>
        <v>50163948801942.5</v>
      </c>
      <c r="H18" s="44">
        <f t="shared" si="2"/>
        <v>-9.5326426642669493E-2</v>
      </c>
    </row>
    <row r="19" spans="2:8" ht="14.4" thickBot="1" x14ac:dyDescent="0.3">
      <c r="B19" s="116"/>
      <c r="C19" s="43">
        <v>2021</v>
      </c>
      <c r="D19" s="52">
        <f>223377014*14340</f>
        <v>3203226380760</v>
      </c>
      <c r="E19" s="52">
        <f t="shared" si="4"/>
        <v>48599700885225</v>
      </c>
      <c r="F19" s="52">
        <f>4223787286*14340</f>
        <v>60569109681240</v>
      </c>
      <c r="G19" s="52">
        <f t="shared" si="1"/>
        <v>54584405283232.5</v>
      </c>
      <c r="H19" s="44">
        <f t="shared" si="2"/>
        <v>5.8683910984077027E-2</v>
      </c>
    </row>
    <row r="20" spans="2:8" ht="14.4" thickBot="1" x14ac:dyDescent="0.3">
      <c r="B20" s="116"/>
      <c r="C20" s="43">
        <v>2022</v>
      </c>
      <c r="D20" s="52">
        <f>556664506*15809</f>
        <v>8800309175354</v>
      </c>
      <c r="E20" s="52">
        <f t="shared" si="4"/>
        <v>60569109681240</v>
      </c>
      <c r="F20" s="52">
        <f>4488046969*15809</f>
        <v>70951534532921</v>
      </c>
      <c r="G20" s="52">
        <f t="shared" si="1"/>
        <v>65760322107080.5</v>
      </c>
      <c r="H20" s="44">
        <f t="shared" si="2"/>
        <v>0.13382399741023257</v>
      </c>
    </row>
    <row r="21" spans="2:8" s="38" customFormat="1" ht="14.4" thickBot="1" x14ac:dyDescent="0.3">
      <c r="B21" s="46"/>
      <c r="C21" s="42" t="s">
        <v>219</v>
      </c>
      <c r="D21" s="50">
        <f>SUM(D16:D20)/5</f>
        <v>1901637848812.6001</v>
      </c>
      <c r="E21" s="50"/>
      <c r="F21" s="50"/>
      <c r="G21" s="50">
        <f>SUM(G16:G20)/5</f>
        <v>55678763663608.898</v>
      </c>
      <c r="H21" s="67">
        <f>SUM(H16:H20)/5</f>
        <v>2.7963099182138618E-2</v>
      </c>
    </row>
    <row r="22" spans="2:8" ht="14.4" thickBot="1" x14ac:dyDescent="0.3">
      <c r="B22" s="115" t="s">
        <v>81</v>
      </c>
      <c r="C22" s="43">
        <v>2018</v>
      </c>
      <c r="D22" s="52">
        <v>276316000000</v>
      </c>
      <c r="E22" s="52">
        <v>4855369000000</v>
      </c>
      <c r="F22" s="52">
        <v>5657327000000</v>
      </c>
      <c r="G22" s="52">
        <f t="shared" si="1"/>
        <v>5256348000000</v>
      </c>
      <c r="H22" s="44">
        <f t="shared" si="2"/>
        <v>5.2568056757277104E-2</v>
      </c>
    </row>
    <row r="23" spans="2:8" ht="14.4" thickBot="1" x14ac:dyDescent="0.3">
      <c r="B23" s="116"/>
      <c r="C23" s="43">
        <v>2019</v>
      </c>
      <c r="D23" s="52">
        <v>356477000000</v>
      </c>
      <c r="E23" s="52">
        <v>5657327000000</v>
      </c>
      <c r="F23" s="52">
        <v>6805037000000</v>
      </c>
      <c r="G23" s="52">
        <f t="shared" si="1"/>
        <v>6231182000000</v>
      </c>
      <c r="H23" s="44">
        <f t="shared" si="2"/>
        <v>5.7208568133622163E-2</v>
      </c>
    </row>
    <row r="24" spans="2:8" ht="14.4" thickBot="1" x14ac:dyDescent="0.3">
      <c r="B24" s="116"/>
      <c r="C24" s="43">
        <v>2020</v>
      </c>
      <c r="D24" s="52">
        <v>249085000000</v>
      </c>
      <c r="E24" s="52">
        <v>6805037000000</v>
      </c>
      <c r="F24" s="52">
        <v>7562822000000</v>
      </c>
      <c r="G24" s="52">
        <f t="shared" si="1"/>
        <v>7183929500000</v>
      </c>
      <c r="H24" s="44">
        <f t="shared" si="2"/>
        <v>3.4672528453961023E-2</v>
      </c>
    </row>
    <row r="25" spans="2:8" ht="14.4" thickBot="1" x14ac:dyDescent="0.3">
      <c r="B25" s="116"/>
      <c r="C25" s="43">
        <v>2021</v>
      </c>
      <c r="D25" s="52">
        <v>108852000000</v>
      </c>
      <c r="E25" s="52">
        <v>7562822000000</v>
      </c>
      <c r="F25" s="52">
        <v>7234857000000</v>
      </c>
      <c r="G25" s="52">
        <f t="shared" si="1"/>
        <v>7398839500000</v>
      </c>
      <c r="H25" s="44">
        <f t="shared" si="2"/>
        <v>1.4712036934981493E-2</v>
      </c>
    </row>
    <row r="26" spans="2:8" ht="14.4" thickBot="1" x14ac:dyDescent="0.3">
      <c r="B26" s="116"/>
      <c r="C26" s="43">
        <v>2022</v>
      </c>
      <c r="D26" s="52">
        <v>378058000000</v>
      </c>
      <c r="E26" s="52">
        <v>7234857000000</v>
      </c>
      <c r="F26" s="52">
        <v>8836089000000</v>
      </c>
      <c r="G26" s="52">
        <f t="shared" si="1"/>
        <v>8035473000000</v>
      </c>
      <c r="H26" s="44">
        <f t="shared" si="2"/>
        <v>4.7048630491322664E-2</v>
      </c>
    </row>
    <row r="27" spans="2:8" s="38" customFormat="1" ht="14.4" thickBot="1" x14ac:dyDescent="0.3">
      <c r="B27" s="46"/>
      <c r="C27" s="42" t="s">
        <v>219</v>
      </c>
      <c r="D27" s="50">
        <f>SUM(D22:D26)/5</f>
        <v>273757600000</v>
      </c>
      <c r="E27" s="50"/>
      <c r="F27" s="50"/>
      <c r="G27" s="50">
        <f>SUM(G22:G26)/5</f>
        <v>6821154400000</v>
      </c>
      <c r="H27" s="67">
        <f>SUM(H22:H26)/5</f>
        <v>4.1241964154232882E-2</v>
      </c>
    </row>
    <row r="28" spans="2:8" ht="14.4" thickBot="1" x14ac:dyDescent="0.3">
      <c r="B28" s="115" t="s">
        <v>98</v>
      </c>
      <c r="C28" s="43">
        <v>2018</v>
      </c>
      <c r="D28" s="52">
        <f>23166000*L4</f>
        <v>315428256000</v>
      </c>
      <c r="E28" s="52">
        <f>454201000*L4</f>
        <v>6184400816000</v>
      </c>
      <c r="F28" s="52">
        <f>555591000*L4</f>
        <v>7564927056000</v>
      </c>
      <c r="G28" s="52">
        <f t="shared" si="1"/>
        <v>6874663936000</v>
      </c>
      <c r="H28" s="44">
        <f t="shared" si="2"/>
        <v>4.5882716440613515E-2</v>
      </c>
    </row>
    <row r="29" spans="2:8" ht="14.4" thickBot="1" x14ac:dyDescent="0.3">
      <c r="B29" s="116"/>
      <c r="C29" s="43">
        <v>2019</v>
      </c>
      <c r="D29" s="52">
        <f>31324000*J5</f>
        <v>437596280000</v>
      </c>
      <c r="E29" s="52">
        <f t="shared" ref="E29:E32" si="5">F28</f>
        <v>7564927056000</v>
      </c>
      <c r="F29" s="52">
        <f>551044000*J5</f>
        <v>7698084680000</v>
      </c>
      <c r="G29" s="52">
        <f t="shared" si="1"/>
        <v>7631505868000</v>
      </c>
      <c r="H29" s="44">
        <f t="shared" si="2"/>
        <v>5.7340751297185535E-2</v>
      </c>
    </row>
    <row r="30" spans="2:8" ht="14.4" thickBot="1" x14ac:dyDescent="0.3">
      <c r="B30" s="116"/>
      <c r="C30" s="43">
        <v>2020</v>
      </c>
      <c r="D30" s="52">
        <f>32498000*J6</f>
        <v>460659150000</v>
      </c>
      <c r="E30" s="52">
        <f t="shared" si="5"/>
        <v>7698084680000</v>
      </c>
      <c r="F30" s="52">
        <f>529688000*J6</f>
        <v>7508327400000</v>
      </c>
      <c r="G30" s="52">
        <f t="shared" si="1"/>
        <v>7603206040000</v>
      </c>
      <c r="H30" s="44">
        <f t="shared" si="2"/>
        <v>6.058748738052086E-2</v>
      </c>
    </row>
    <row r="31" spans="2:8" ht="14.4" thickBot="1" x14ac:dyDescent="0.3">
      <c r="B31" s="116"/>
      <c r="C31" s="43">
        <v>2021</v>
      </c>
      <c r="D31" s="52">
        <f>41334000*J7</f>
        <v>592729560000</v>
      </c>
      <c r="E31" s="52">
        <f t="shared" si="5"/>
        <v>7508327400000</v>
      </c>
      <c r="F31" s="52">
        <f>532736000*J7</f>
        <v>7639434240000</v>
      </c>
      <c r="G31" s="52">
        <f t="shared" si="1"/>
        <v>7573880820000</v>
      </c>
      <c r="H31" s="44">
        <f t="shared" si="2"/>
        <v>7.8259689330574922E-2</v>
      </c>
    </row>
    <row r="32" spans="2:8" ht="14.4" thickBot="1" x14ac:dyDescent="0.3">
      <c r="B32" s="116"/>
      <c r="C32" s="43">
        <v>2022</v>
      </c>
      <c r="D32" s="52">
        <f>50155000*J8</f>
        <v>792900395000</v>
      </c>
      <c r="E32" s="52">
        <f t="shared" si="5"/>
        <v>7639434240000</v>
      </c>
      <c r="F32" s="52">
        <f>596420000*J8</f>
        <v>9428803780000</v>
      </c>
      <c r="G32" s="52">
        <f t="shared" si="1"/>
        <v>8534119010000</v>
      </c>
      <c r="H32" s="44">
        <f t="shared" si="2"/>
        <v>9.2909460727100879E-2</v>
      </c>
    </row>
    <row r="33" spans="2:8" s="38" customFormat="1" ht="14.4" thickBot="1" x14ac:dyDescent="0.3">
      <c r="B33" s="46"/>
      <c r="C33" s="42" t="s">
        <v>219</v>
      </c>
      <c r="D33" s="50">
        <f>SUM(D28:D32)/5</f>
        <v>519862728200</v>
      </c>
      <c r="E33" s="50"/>
      <c r="F33" s="50"/>
      <c r="G33" s="50">
        <f>SUM(G28:G32)/5</f>
        <v>7643475134800</v>
      </c>
      <c r="H33" s="67">
        <f>SUM(H28:H32)/5</f>
        <v>6.6996021035199152E-2</v>
      </c>
    </row>
    <row r="34" spans="2:8" ht="14.4" thickBot="1" x14ac:dyDescent="0.3">
      <c r="B34" s="115" t="s">
        <v>114</v>
      </c>
      <c r="C34" s="43">
        <v>2018</v>
      </c>
      <c r="D34" s="52">
        <f>258756000*L4</f>
        <v>3523221696000</v>
      </c>
      <c r="E34" s="52">
        <f>1358663000*L4</f>
        <v>18499555408000</v>
      </c>
      <c r="F34" s="52">
        <f>1442728000*L4</f>
        <v>19644184448000</v>
      </c>
      <c r="G34" s="52">
        <f t="shared" si="1"/>
        <v>19071869928000</v>
      </c>
      <c r="H34" s="44">
        <f t="shared" si="2"/>
        <v>0.1847339411028307</v>
      </c>
    </row>
    <row r="35" spans="2:8" ht="14.4" thickBot="1" x14ac:dyDescent="0.3">
      <c r="B35" s="116"/>
      <c r="C35" s="43">
        <v>2019</v>
      </c>
      <c r="D35" s="52">
        <f>126502000*J5</f>
        <v>1767232940000</v>
      </c>
      <c r="E35" s="52">
        <f t="shared" ref="E35:E38" si="6">F34</f>
        <v>19644184448000</v>
      </c>
      <c r="F35" s="52">
        <f>1209041000*J5</f>
        <v>16890302770000</v>
      </c>
      <c r="G35" s="52">
        <f t="shared" si="1"/>
        <v>18267243609000</v>
      </c>
      <c r="H35" s="44">
        <f t="shared" si="2"/>
        <v>9.6743273250558204E-2</v>
      </c>
    </row>
    <row r="36" spans="2:8" ht="14.4" thickBot="1" x14ac:dyDescent="0.3">
      <c r="B36" s="116"/>
      <c r="C36" s="43">
        <v>2020</v>
      </c>
      <c r="D36" s="52">
        <f>37828000*J6</f>
        <v>536211900000</v>
      </c>
      <c r="E36" s="52">
        <f t="shared" si="6"/>
        <v>16890302770000</v>
      </c>
      <c r="F36" s="52">
        <f>1158629000*J6</f>
        <v>16423566075000</v>
      </c>
      <c r="G36" s="52">
        <f t="shared" si="1"/>
        <v>16656934422500</v>
      </c>
      <c r="H36" s="44">
        <f t="shared" si="2"/>
        <v>3.2191511739140366E-2</v>
      </c>
    </row>
    <row r="37" spans="2:8" ht="14.4" thickBot="1" x14ac:dyDescent="0.3">
      <c r="B37" s="116"/>
      <c r="C37" s="43">
        <v>2021</v>
      </c>
      <c r="D37" s="52">
        <f>475390000*J7</f>
        <v>6817092600000</v>
      </c>
      <c r="E37" s="52">
        <f t="shared" si="6"/>
        <v>16423566075000</v>
      </c>
      <c r="F37" s="52">
        <f>1666239000*J7</f>
        <v>23893867260000</v>
      </c>
      <c r="G37" s="52">
        <f t="shared" si="1"/>
        <v>20158716667500</v>
      </c>
      <c r="H37" s="44">
        <f t="shared" si="2"/>
        <v>0.33817096159650661</v>
      </c>
    </row>
    <row r="38" spans="2:8" ht="14.4" thickBot="1" x14ac:dyDescent="0.3">
      <c r="B38" s="116"/>
      <c r="C38" s="43">
        <v>2022</v>
      </c>
      <c r="D38" s="52">
        <f>1199345000*J8</f>
        <v>18960445105000</v>
      </c>
      <c r="E38" s="52">
        <f t="shared" si="6"/>
        <v>23893867260000</v>
      </c>
      <c r="F38" s="52">
        <f>2640177000*J8</f>
        <v>41738558193000</v>
      </c>
      <c r="G38" s="52">
        <f t="shared" si="1"/>
        <v>32816212726500</v>
      </c>
      <c r="H38" s="44">
        <f t="shared" si="2"/>
        <v>0.57777676123146637</v>
      </c>
    </row>
    <row r="39" spans="2:8" s="38" customFormat="1" ht="14.4" thickBot="1" x14ac:dyDescent="0.3">
      <c r="B39" s="46"/>
      <c r="C39" s="42" t="s">
        <v>219</v>
      </c>
      <c r="D39" s="50">
        <f>SUM(D34:D38)/5</f>
        <v>6320840848200</v>
      </c>
      <c r="E39" s="50"/>
      <c r="F39" s="50"/>
      <c r="G39" s="50">
        <f>SUM(G34:G38)/5</f>
        <v>21394195470700</v>
      </c>
      <c r="H39" s="67">
        <f>SUM(H34:H38)/5</f>
        <v>0.24592328978410044</v>
      </c>
    </row>
    <row r="40" spans="2:8" ht="14.4" thickBot="1" x14ac:dyDescent="0.3">
      <c r="B40" s="115" t="s">
        <v>129</v>
      </c>
      <c r="C40" s="43">
        <v>2018</v>
      </c>
      <c r="D40" s="56">
        <f>-16748868*L4</f>
        <v>-228052586688</v>
      </c>
      <c r="E40" s="56">
        <f>240103440*L4</f>
        <v>3269248439040</v>
      </c>
      <c r="F40" s="56">
        <f>239708560*L4</f>
        <v>3263871752960</v>
      </c>
      <c r="G40" s="52">
        <f t="shared" si="1"/>
        <v>3266560096000</v>
      </c>
      <c r="H40" s="44">
        <f t="shared" si="2"/>
        <v>-6.981429393178995E-2</v>
      </c>
    </row>
    <row r="41" spans="2:8" ht="14.4" thickBot="1" x14ac:dyDescent="0.3">
      <c r="B41" s="116"/>
      <c r="C41" s="43">
        <v>2019</v>
      </c>
      <c r="D41" s="56">
        <f>1808168*J5</f>
        <v>25260106960</v>
      </c>
      <c r="E41" s="56">
        <f>239708560*J5</f>
        <v>3348728583200</v>
      </c>
      <c r="F41" s="56">
        <f>218135430*J5</f>
        <v>3047351957100</v>
      </c>
      <c r="G41" s="52">
        <f t="shared" si="1"/>
        <v>3198040270150</v>
      </c>
      <c r="H41" s="44">
        <f t="shared" si="2"/>
        <v>7.8986206633399302E-3</v>
      </c>
    </row>
    <row r="42" spans="2:8" ht="14.4" thickBot="1" x14ac:dyDescent="0.3">
      <c r="B42" s="116"/>
      <c r="C42" s="43">
        <v>2020</v>
      </c>
      <c r="D42" s="56">
        <f>14975954*J6</f>
        <v>212284147950</v>
      </c>
      <c r="E42" s="56">
        <f>218135430*J6</f>
        <v>3092069720250</v>
      </c>
      <c r="F42" s="56">
        <f>194859060*J6</f>
        <v>2762127175500</v>
      </c>
      <c r="G42" s="52">
        <f t="shared" si="1"/>
        <v>2927098447875</v>
      </c>
      <c r="H42" s="44">
        <f t="shared" si="2"/>
        <v>7.2523747229654323E-2</v>
      </c>
    </row>
    <row r="43" spans="2:8" ht="14.4" thickBot="1" x14ac:dyDescent="0.3">
      <c r="B43" s="116"/>
      <c r="C43" s="43">
        <v>2021</v>
      </c>
      <c r="D43" s="56">
        <f>12142010*J7</f>
        <v>174116423400</v>
      </c>
      <c r="E43" s="56">
        <f>194859060*J7</f>
        <v>2794278920400</v>
      </c>
      <c r="F43" s="56">
        <f>177639085*J7</f>
        <v>2547344478900</v>
      </c>
      <c r="G43" s="52">
        <f t="shared" si="1"/>
        <v>2670811699650</v>
      </c>
      <c r="H43" s="44">
        <f t="shared" si="2"/>
        <v>6.5192324649026107E-2</v>
      </c>
    </row>
    <row r="44" spans="2:8" ht="14.4" thickBot="1" x14ac:dyDescent="0.3">
      <c r="B44" s="116"/>
      <c r="C44" s="43">
        <v>2022</v>
      </c>
      <c r="D44" s="52">
        <f>25585539*J8</f>
        <v>404481786051</v>
      </c>
      <c r="E44" s="56">
        <f>177639085*J8</f>
        <v>2808296294765</v>
      </c>
      <c r="F44" s="56">
        <f>210993872*J8</f>
        <v>3335602122448</v>
      </c>
      <c r="G44" s="52">
        <f t="shared" si="1"/>
        <v>3071949208606.5</v>
      </c>
      <c r="H44" s="44">
        <f t="shared" si="2"/>
        <v>0.13166942504055312</v>
      </c>
    </row>
    <row r="45" spans="2:8" s="38" customFormat="1" ht="14.4" thickBot="1" x14ac:dyDescent="0.3">
      <c r="B45" s="46"/>
      <c r="C45" s="42" t="s">
        <v>219</v>
      </c>
      <c r="D45" s="50">
        <f>SUM(D40:D44)/5</f>
        <v>117617975534.60001</v>
      </c>
      <c r="E45" s="50"/>
      <c r="F45" s="50"/>
      <c r="G45" s="50">
        <f>SUM(G40:G44)/5</f>
        <v>3026891944456.2998</v>
      </c>
      <c r="H45" s="67">
        <f>SUM(H40:H44)/5</f>
        <v>4.1493964730156707E-2</v>
      </c>
    </row>
    <row r="46" spans="2:8" ht="14.4" thickBot="1" x14ac:dyDescent="0.3">
      <c r="B46" s="115" t="s">
        <v>140</v>
      </c>
      <c r="C46" s="43">
        <v>2018</v>
      </c>
      <c r="D46" s="56">
        <f>-28372936*J4</f>
        <v>-412911337608</v>
      </c>
      <c r="E46" s="52">
        <f>5160785857*L4</f>
        <v>70269260228912</v>
      </c>
      <c r="F46" s="52">
        <f>5252393746*J4</f>
        <v>76438086185538</v>
      </c>
      <c r="G46" s="52">
        <f t="shared" si="1"/>
        <v>73353673207225</v>
      </c>
      <c r="H46" s="44">
        <f t="shared" si="2"/>
        <v>-5.6290478656947493E-3</v>
      </c>
    </row>
    <row r="47" spans="2:8" ht="14.4" thickBot="1" x14ac:dyDescent="0.3">
      <c r="B47" s="116"/>
      <c r="C47" s="43">
        <v>2019</v>
      </c>
      <c r="D47" s="52">
        <f>-24950936*J5</f>
        <v>-348564575920</v>
      </c>
      <c r="E47" s="52">
        <f t="shared" ref="E47:E50" si="7">F46</f>
        <v>76438086185538</v>
      </c>
      <c r="F47" s="52">
        <f>5997523421*J5</f>
        <v>83785402191370</v>
      </c>
      <c r="G47" s="52">
        <f t="shared" si="1"/>
        <v>80111744188454</v>
      </c>
      <c r="H47" s="44">
        <f t="shared" si="2"/>
        <v>-4.3509797402493259E-3</v>
      </c>
    </row>
    <row r="48" spans="2:8" ht="14.4" thickBot="1" x14ac:dyDescent="0.3">
      <c r="B48" s="116"/>
      <c r="C48" s="43">
        <v>2020</v>
      </c>
      <c r="D48" s="52">
        <f>-177303520*J6</f>
        <v>-2513277396000</v>
      </c>
      <c r="E48" s="52">
        <f t="shared" si="7"/>
        <v>83785402191370</v>
      </c>
      <c r="F48" s="52">
        <f>5900822955*J6</f>
        <v>83644165387125</v>
      </c>
      <c r="G48" s="52">
        <f t="shared" si="1"/>
        <v>83714783789247.5</v>
      </c>
      <c r="H48" s="44">
        <f t="shared" si="2"/>
        <v>-3.0021906313790307E-2</v>
      </c>
    </row>
    <row r="49" spans="2:8" ht="14.4" thickBot="1" x14ac:dyDescent="0.3">
      <c r="B49" s="116"/>
      <c r="C49" s="43">
        <v>2021</v>
      </c>
      <c r="D49" s="56">
        <f>62600751*J7</f>
        <v>897694769340</v>
      </c>
      <c r="E49" s="52">
        <f t="shared" si="7"/>
        <v>83644165387125</v>
      </c>
      <c r="F49" s="52">
        <f>5683884139*J7</f>
        <v>81506898553260</v>
      </c>
      <c r="G49" s="52">
        <f t="shared" si="1"/>
        <v>82575531970192.5</v>
      </c>
      <c r="H49" s="44">
        <f t="shared" si="2"/>
        <v>1.0871195715263973E-2</v>
      </c>
    </row>
    <row r="50" spans="2:8" ht="14.4" thickBot="1" x14ac:dyDescent="0.3">
      <c r="B50" s="116"/>
      <c r="C50" s="43">
        <v>2022</v>
      </c>
      <c r="D50" s="52">
        <f>551410338*J8</f>
        <v>8717246033442</v>
      </c>
      <c r="E50" s="52">
        <f t="shared" si="7"/>
        <v>81506898553260</v>
      </c>
      <c r="F50" s="52">
        <f>6931905826*J8</f>
        <v>109586499203234</v>
      </c>
      <c r="G50" s="52">
        <f t="shared" si="1"/>
        <v>95546698878247</v>
      </c>
      <c r="H50" s="44">
        <f t="shared" si="2"/>
        <v>9.1235449636519514E-2</v>
      </c>
    </row>
    <row r="51" spans="2:8" s="38" customFormat="1" ht="14.4" thickBot="1" x14ac:dyDescent="0.3">
      <c r="B51" s="46"/>
      <c r="C51" s="42" t="s">
        <v>219</v>
      </c>
      <c r="D51" s="50">
        <f>SUM(D46:D50)/5</f>
        <v>1268037498650.8</v>
      </c>
      <c r="E51" s="50"/>
      <c r="F51" s="50"/>
      <c r="G51" s="50">
        <f>SUM(G46:G50)/5</f>
        <v>83060486406673.203</v>
      </c>
      <c r="H51" s="67">
        <f>SUM(H46:H50)/5</f>
        <v>1.242094228640982E-2</v>
      </c>
    </row>
    <row r="52" spans="2:8" ht="14.4" thickBot="1" x14ac:dyDescent="0.3">
      <c r="B52" s="115" t="s">
        <v>150</v>
      </c>
      <c r="C52" s="43">
        <v>2018</v>
      </c>
      <c r="D52" s="52">
        <f>364638660*J4</f>
        <v>5306586418980</v>
      </c>
      <c r="E52" s="52">
        <f>8183180242*L4</f>
        <v>111422182175072</v>
      </c>
      <c r="F52" s="52">
        <f>7939273167*J4</f>
        <v>115540242399351</v>
      </c>
      <c r="G52" s="52">
        <f t="shared" si="1"/>
        <v>113481212287211.5</v>
      </c>
      <c r="H52" s="44">
        <f t="shared" si="2"/>
        <v>4.6761805870997146E-2</v>
      </c>
    </row>
    <row r="53" spans="2:8" ht="14.4" thickBot="1" x14ac:dyDescent="0.3">
      <c r="B53" s="116"/>
      <c r="C53" s="43">
        <v>2019</v>
      </c>
      <c r="D53" s="52">
        <f>112981195*J5</f>
        <v>1578347294150</v>
      </c>
      <c r="E53" s="52">
        <f t="shared" ref="E53:E56" si="8">F52</f>
        <v>115540242399351</v>
      </c>
      <c r="F53" s="52">
        <f>7373713156*J5</f>
        <v>103010772789320</v>
      </c>
      <c r="G53" s="52">
        <f t="shared" si="1"/>
        <v>109275507594335.5</v>
      </c>
      <c r="H53" s="44">
        <f t="shared" si="2"/>
        <v>1.4443742508241771E-2</v>
      </c>
    </row>
    <row r="54" spans="2:8" ht="14.4" thickBot="1" x14ac:dyDescent="0.3">
      <c r="B54" s="116"/>
      <c r="C54" s="43">
        <v>2020</v>
      </c>
      <c r="D54" s="52">
        <f>-215767814*J6</f>
        <v>-3058508763450</v>
      </c>
      <c r="E54" s="52">
        <f t="shared" si="8"/>
        <v>103010772789320</v>
      </c>
      <c r="F54" s="52">
        <f>7533986395*J6</f>
        <v>106794257149125</v>
      </c>
      <c r="G54" s="52">
        <f t="shared" si="1"/>
        <v>104902514969222.5</v>
      </c>
      <c r="H54" s="44">
        <f t="shared" si="2"/>
        <v>-2.9155723905640779E-2</v>
      </c>
    </row>
    <row r="55" spans="2:8" ht="14.4" thickBot="1" x14ac:dyDescent="0.3">
      <c r="B55" s="116"/>
      <c r="C55" s="43">
        <v>2021</v>
      </c>
      <c r="D55" s="52">
        <f>364534135*J7</f>
        <v>5227419495900</v>
      </c>
      <c r="E55" s="52">
        <f t="shared" si="8"/>
        <v>106794257149125</v>
      </c>
      <c r="F55" s="56">
        <f>7510948902*J7</f>
        <v>107707007254680</v>
      </c>
      <c r="G55" s="52">
        <f t="shared" si="1"/>
        <v>107250632201902.5</v>
      </c>
      <c r="H55" s="44">
        <f t="shared" si="2"/>
        <v>4.8740220813423531E-2</v>
      </c>
    </row>
    <row r="56" spans="2:8" ht="14.4" thickBot="1" x14ac:dyDescent="0.3">
      <c r="B56" s="116"/>
      <c r="C56" s="43">
        <v>2022</v>
      </c>
      <c r="D56" s="52">
        <f>401342541*J8</f>
        <v>6344824230669</v>
      </c>
      <c r="E56" s="52">
        <f t="shared" si="8"/>
        <v>107707007254680</v>
      </c>
      <c r="F56" s="52">
        <f>7194859982*J8</f>
        <v>113743541455438</v>
      </c>
      <c r="G56" s="52">
        <f t="shared" si="1"/>
        <v>110725274355059</v>
      </c>
      <c r="H56" s="44">
        <f t="shared" si="2"/>
        <v>5.7302402433641902E-2</v>
      </c>
    </row>
    <row r="57" spans="2:8" s="38" customFormat="1" ht="14.4" thickBot="1" x14ac:dyDescent="0.3">
      <c r="B57" s="46"/>
      <c r="C57" s="42" t="s">
        <v>219</v>
      </c>
      <c r="D57" s="50">
        <f>SUM(D52:D56)/5</f>
        <v>3079733735249.7998</v>
      </c>
      <c r="E57" s="50"/>
      <c r="F57" s="50"/>
      <c r="G57" s="50">
        <f>SUM(G52:G56)/5</f>
        <v>109127028281546.2</v>
      </c>
      <c r="H57" s="67">
        <f>SUM(H52:H56)/5</f>
        <v>2.7618489544132714E-2</v>
      </c>
    </row>
    <row r="58" spans="2:8" ht="14.4" thickBot="1" x14ac:dyDescent="0.3">
      <c r="B58" s="115" t="s">
        <v>156</v>
      </c>
      <c r="C58" s="43">
        <v>2018</v>
      </c>
      <c r="D58" s="52">
        <f>14013016*J4</f>
        <v>203931421848</v>
      </c>
      <c r="E58" s="52">
        <f>101808917*L4</f>
        <v>1386230213872</v>
      </c>
      <c r="F58" s="52">
        <f>110114527*J4</f>
        <v>1602496711431</v>
      </c>
      <c r="G58" s="52">
        <f t="shared" si="1"/>
        <v>1494363462651.5</v>
      </c>
      <c r="H58" s="44">
        <f t="shared" si="2"/>
        <v>0.13646708243666339</v>
      </c>
    </row>
    <row r="59" spans="2:8" ht="14.4" thickBot="1" x14ac:dyDescent="0.3">
      <c r="B59" s="116"/>
      <c r="C59" s="43">
        <v>2019</v>
      </c>
      <c r="D59" s="52">
        <f>13288618*J5</f>
        <v>185641993460</v>
      </c>
      <c r="E59" s="52">
        <f t="shared" ref="E59:E62" si="9">F58</f>
        <v>1602496711431</v>
      </c>
      <c r="F59" s="52">
        <f>143198533*J5</f>
        <v>2000483506010</v>
      </c>
      <c r="G59" s="52">
        <f t="shared" si="1"/>
        <v>1801490108720.5</v>
      </c>
      <c r="H59" s="44">
        <f t="shared" si="2"/>
        <v>0.10304913280475982</v>
      </c>
    </row>
    <row r="60" spans="2:8" ht="14.4" thickBot="1" x14ac:dyDescent="0.3">
      <c r="B60" s="116"/>
      <c r="C60" s="43">
        <v>2020</v>
      </c>
      <c r="D60" s="52">
        <f>8430220*J6</f>
        <v>119498368500</v>
      </c>
      <c r="E60" s="52">
        <f t="shared" si="9"/>
        <v>2000483506010</v>
      </c>
      <c r="F60" s="52">
        <f>146835893*J6</f>
        <v>2081398783275</v>
      </c>
      <c r="G60" s="52">
        <f t="shared" si="1"/>
        <v>2040941144642.5</v>
      </c>
      <c r="H60" s="44">
        <f t="shared" si="2"/>
        <v>5.8550619557886291E-2</v>
      </c>
    </row>
    <row r="61" spans="2:8" ht="14.4" thickBot="1" x14ac:dyDescent="0.3">
      <c r="B61" s="116"/>
      <c r="C61" s="43">
        <v>2021</v>
      </c>
      <c r="D61" s="52">
        <f>25041806*J7</f>
        <v>359099498040</v>
      </c>
      <c r="E61" s="52">
        <f t="shared" si="9"/>
        <v>2081398783275</v>
      </c>
      <c r="F61" s="52">
        <f>161236150*J7</f>
        <v>2312126391000</v>
      </c>
      <c r="G61" s="52">
        <f t="shared" si="1"/>
        <v>2196762587137.5</v>
      </c>
      <c r="H61" s="44">
        <f t="shared" si="2"/>
        <v>0.16346759551651233</v>
      </c>
    </row>
    <row r="62" spans="2:8" ht="14.4" thickBot="1" x14ac:dyDescent="0.3">
      <c r="B62" s="116"/>
      <c r="C62" s="43">
        <v>2022</v>
      </c>
      <c r="D62" s="52">
        <f>42332323*J8</f>
        <v>669231694307</v>
      </c>
      <c r="E62" s="52">
        <f t="shared" si="9"/>
        <v>2312126391000</v>
      </c>
      <c r="F62" s="52">
        <f>179354447*J8</f>
        <v>2835414452623</v>
      </c>
      <c r="G62" s="52">
        <f t="shared" si="1"/>
        <v>2573770421811.5</v>
      </c>
      <c r="H62" s="44">
        <f t="shared" si="2"/>
        <v>0.2600199647317315</v>
      </c>
    </row>
    <row r="63" spans="2:8" s="38" customFormat="1" ht="14.4" thickBot="1" x14ac:dyDescent="0.3">
      <c r="B63" s="46"/>
      <c r="C63" s="42" t="s">
        <v>219</v>
      </c>
      <c r="D63" s="50">
        <f>SUM(D58:D62)/5</f>
        <v>307480595231</v>
      </c>
      <c r="E63" s="50"/>
      <c r="F63" s="50"/>
      <c r="G63" s="50">
        <f>SUM(G58:G62)/5</f>
        <v>2021465544992.7</v>
      </c>
      <c r="H63" s="67">
        <f>SUM(H58:H62)/5</f>
        <v>0.14431087900951067</v>
      </c>
    </row>
    <row r="64" spans="2:8" ht="14.4" thickBot="1" x14ac:dyDescent="0.3">
      <c r="B64" s="115" t="s">
        <v>162</v>
      </c>
      <c r="C64" s="43">
        <v>2018</v>
      </c>
      <c r="D64" s="52">
        <f>5121112000000</f>
        <v>5121112000000</v>
      </c>
      <c r="E64" s="52">
        <f>21987482000000</f>
        <v>21987482000000</v>
      </c>
      <c r="F64" s="52">
        <f>24172933000000</f>
        <v>24172933000000</v>
      </c>
      <c r="G64" s="52">
        <f t="shared" si="1"/>
        <v>23080207500000</v>
      </c>
      <c r="H64" s="44">
        <f t="shared" si="2"/>
        <v>0.22188327379639025</v>
      </c>
    </row>
    <row r="65" spans="2:8" ht="14.4" thickBot="1" x14ac:dyDescent="0.3">
      <c r="B65" s="116"/>
      <c r="C65" s="43">
        <v>2019</v>
      </c>
      <c r="D65" s="52">
        <v>4040394000000</v>
      </c>
      <c r="E65" s="52">
        <f t="shared" ref="E65:E68" si="10">F64</f>
        <v>24172933000000</v>
      </c>
      <c r="F65" s="52">
        <f>26098052000000</f>
        <v>26098052000000</v>
      </c>
      <c r="G65" s="52">
        <f t="shared" si="1"/>
        <v>25135492500000</v>
      </c>
      <c r="H65" s="44">
        <f t="shared" si="2"/>
        <v>0.1607445726396648</v>
      </c>
    </row>
    <row r="66" spans="2:8" ht="14.4" thickBot="1" x14ac:dyDescent="0.3">
      <c r="B66" s="116"/>
      <c r="C66" s="43">
        <v>2020</v>
      </c>
      <c r="D66" s="52">
        <v>2407927000000</v>
      </c>
      <c r="E66" s="52">
        <f t="shared" si="10"/>
        <v>26098052000000</v>
      </c>
      <c r="F66" s="52">
        <f>24056755000000</f>
        <v>24056755000000</v>
      </c>
      <c r="G66" s="52">
        <f t="shared" si="1"/>
        <v>25077403500000</v>
      </c>
      <c r="H66" s="44">
        <f t="shared" si="2"/>
        <v>9.601978928958893E-2</v>
      </c>
    </row>
    <row r="67" spans="2:8" ht="14.4" thickBot="1" x14ac:dyDescent="0.3">
      <c r="B67" s="116"/>
      <c r="C67" s="43">
        <v>2021</v>
      </c>
      <c r="D67" s="52">
        <v>8036888000000</v>
      </c>
      <c r="E67" s="52">
        <f t="shared" si="10"/>
        <v>24056755000000</v>
      </c>
      <c r="F67" s="52">
        <f>36123703000000</f>
        <v>36123703000000</v>
      </c>
      <c r="G67" s="52">
        <f t="shared" si="1"/>
        <v>30090229000000</v>
      </c>
      <c r="H67" s="44">
        <f t="shared" si="2"/>
        <v>0.26709294901012554</v>
      </c>
    </row>
    <row r="68" spans="2:8" ht="14.4" thickBot="1" x14ac:dyDescent="0.3">
      <c r="B68" s="116"/>
      <c r="C68" s="43">
        <v>2022</v>
      </c>
      <c r="D68" s="52">
        <v>12779427000000</v>
      </c>
      <c r="E68" s="52">
        <f t="shared" si="10"/>
        <v>36123703000000</v>
      </c>
      <c r="F68" s="52">
        <f>45359207000000</f>
        <v>45359207000000</v>
      </c>
      <c r="G68" s="52">
        <f t="shared" si="1"/>
        <v>40741455000000</v>
      </c>
      <c r="H68" s="44">
        <f t="shared" si="2"/>
        <v>0.31367134531645963</v>
      </c>
    </row>
    <row r="69" spans="2:8" s="38" customFormat="1" ht="14.4" thickBot="1" x14ac:dyDescent="0.3">
      <c r="B69" s="46"/>
      <c r="C69" s="42" t="s">
        <v>219</v>
      </c>
      <c r="D69" s="50">
        <f>SUM(D64:D68)/5</f>
        <v>6477149600000</v>
      </c>
      <c r="E69" s="50"/>
      <c r="F69" s="50"/>
      <c r="G69" s="50">
        <f>SUM(G64:G68)/5</f>
        <v>28824957500000</v>
      </c>
      <c r="H69" s="67">
        <f>SUM(H64:H68)/5</f>
        <v>0.21188238601044582</v>
      </c>
    </row>
    <row r="70" spans="2:8" ht="14.4" thickBot="1" x14ac:dyDescent="0.3">
      <c r="B70" s="115" t="s">
        <v>168</v>
      </c>
      <c r="C70" s="43">
        <v>2018</v>
      </c>
      <c r="D70" s="52">
        <v>27372000000000</v>
      </c>
      <c r="E70" s="52">
        <v>295830000000000</v>
      </c>
      <c r="F70" s="52">
        <v>344711000000000</v>
      </c>
      <c r="G70" s="52">
        <f t="shared" si="1"/>
        <v>320270500000000</v>
      </c>
      <c r="H70" s="44">
        <f t="shared" ref="H70:H132" si="11">D70/G70</f>
        <v>8.5465255151504743E-2</v>
      </c>
    </row>
    <row r="71" spans="2:8" ht="14.4" thickBot="1" x14ac:dyDescent="0.3">
      <c r="B71" s="116"/>
      <c r="C71" s="43">
        <v>2019</v>
      </c>
      <c r="D71" s="56">
        <v>15413000000000</v>
      </c>
      <c r="E71" s="52">
        <f t="shared" ref="E71:E74" si="12">F70</f>
        <v>344711000000000</v>
      </c>
      <c r="F71" s="52">
        <v>87376000000000</v>
      </c>
      <c r="G71" s="52">
        <f t="shared" ref="G71:G74" si="13">SUM(E71:F71)/2</f>
        <v>216043500000000</v>
      </c>
      <c r="H71" s="44">
        <f t="shared" si="11"/>
        <v>7.134211397241759E-2</v>
      </c>
    </row>
    <row r="72" spans="2:8" ht="14.4" thickBot="1" x14ac:dyDescent="0.3">
      <c r="B72" s="116"/>
      <c r="C72" s="43">
        <v>2020</v>
      </c>
      <c r="D72" s="52">
        <v>9548000000000</v>
      </c>
      <c r="E72" s="52">
        <f t="shared" si="12"/>
        <v>87376000000000</v>
      </c>
      <c r="F72" s="52">
        <v>91919000000000</v>
      </c>
      <c r="G72" s="52">
        <f t="shared" si="13"/>
        <v>89647500000000</v>
      </c>
      <c r="H72" s="44">
        <f t="shared" si="11"/>
        <v>0.10650603753590451</v>
      </c>
    </row>
    <row r="73" spans="2:8" ht="14.4" thickBot="1" x14ac:dyDescent="0.3">
      <c r="B73" s="116"/>
      <c r="C73" s="43">
        <v>2021</v>
      </c>
      <c r="D73" s="52">
        <v>25586000000000</v>
      </c>
      <c r="E73" s="52">
        <f t="shared" si="12"/>
        <v>91919000000000</v>
      </c>
      <c r="F73" s="52">
        <v>367311000000000</v>
      </c>
      <c r="G73" s="52">
        <f t="shared" si="13"/>
        <v>229615000000000</v>
      </c>
      <c r="H73" s="44">
        <f t="shared" si="11"/>
        <v>0.11143000239531389</v>
      </c>
    </row>
    <row r="74" spans="2:8" ht="14.4" thickBot="1" x14ac:dyDescent="0.3">
      <c r="B74" s="116"/>
      <c r="C74" s="43">
        <v>2022</v>
      </c>
      <c r="D74" s="52">
        <v>40420000000000</v>
      </c>
      <c r="E74" s="52">
        <f t="shared" si="12"/>
        <v>367311000000000</v>
      </c>
      <c r="F74" s="52">
        <v>413297000000000</v>
      </c>
      <c r="G74" s="52">
        <f t="shared" si="13"/>
        <v>390304000000000</v>
      </c>
      <c r="H74" s="44">
        <f t="shared" si="11"/>
        <v>0.10356030171353611</v>
      </c>
    </row>
    <row r="75" spans="2:8" s="38" customFormat="1" ht="14.4" thickBot="1" x14ac:dyDescent="0.3">
      <c r="B75" s="46"/>
      <c r="C75" s="42" t="s">
        <v>219</v>
      </c>
      <c r="D75" s="50">
        <f>SUM(D70:D74)/5</f>
        <v>23667800000000</v>
      </c>
      <c r="E75" s="50"/>
      <c r="F75" s="50"/>
      <c r="G75" s="50">
        <f>SUM(G70:G74)/5</f>
        <v>249176100000000</v>
      </c>
      <c r="H75" s="67">
        <f>SUM(H70:H74)/5</f>
        <v>9.5660742153735365E-2</v>
      </c>
    </row>
    <row r="76" spans="2:8" ht="14.4" thickBot="1" x14ac:dyDescent="0.3">
      <c r="B76" s="115" t="s">
        <v>173</v>
      </c>
      <c r="C76" s="43">
        <v>2018</v>
      </c>
      <c r="D76" s="52">
        <v>11498409000000</v>
      </c>
      <c r="E76" s="52">
        <v>82262093000000</v>
      </c>
      <c r="F76" s="52">
        <v>116281017000000</v>
      </c>
      <c r="G76" s="52">
        <f t="shared" ref="G76:G80" si="14">SUM(E76:F76)/2</f>
        <v>99271555000000</v>
      </c>
      <c r="H76" s="44">
        <f t="shared" si="11"/>
        <v>0.11582783205118526</v>
      </c>
    </row>
    <row r="77" spans="2:8" ht="14.4" thickBot="1" x14ac:dyDescent="0.3">
      <c r="B77" s="116"/>
      <c r="C77" s="43">
        <v>2019</v>
      </c>
      <c r="D77" s="52">
        <v>11134641000000</v>
      </c>
      <c r="E77" s="52">
        <f t="shared" ref="E77:E80" si="15">F76</f>
        <v>116281017000000</v>
      </c>
      <c r="F77" s="52">
        <v>111713375000000</v>
      </c>
      <c r="G77" s="52">
        <f t="shared" si="14"/>
        <v>113997196000000</v>
      </c>
      <c r="H77" s="44">
        <f t="shared" si="11"/>
        <v>9.767469192838743E-2</v>
      </c>
    </row>
    <row r="78" spans="2:8" ht="14.4" thickBot="1" x14ac:dyDescent="0.3">
      <c r="B78" s="116"/>
      <c r="C78" s="43">
        <v>2020</v>
      </c>
      <c r="D78" s="52">
        <v>5632425000000</v>
      </c>
      <c r="E78" s="52">
        <f t="shared" si="15"/>
        <v>111713375000000</v>
      </c>
      <c r="F78" s="52">
        <v>99800963000000</v>
      </c>
      <c r="G78" s="52">
        <f t="shared" si="14"/>
        <v>105757169000000</v>
      </c>
      <c r="H78" s="44">
        <f t="shared" si="11"/>
        <v>5.3258091657124446E-2</v>
      </c>
    </row>
    <row r="79" spans="2:8" ht="14.4" thickBot="1" x14ac:dyDescent="0.3">
      <c r="B79" s="116"/>
      <c r="C79" s="43">
        <v>2021</v>
      </c>
      <c r="D79" s="52">
        <v>10608267000000</v>
      </c>
      <c r="E79" s="52">
        <f t="shared" si="15"/>
        <v>99800963000000</v>
      </c>
      <c r="F79" s="52">
        <v>112561356000000</v>
      </c>
      <c r="G79" s="52">
        <f t="shared" si="14"/>
        <v>106181159500000</v>
      </c>
      <c r="H79" s="44">
        <f t="shared" si="11"/>
        <v>9.9907243902342208E-2</v>
      </c>
    </row>
    <row r="80" spans="2:8" ht="14.4" thickBot="1" x14ac:dyDescent="0.3">
      <c r="B80" s="116"/>
      <c r="C80" s="43">
        <v>2022</v>
      </c>
      <c r="D80" s="52">
        <v>22993673000000</v>
      </c>
      <c r="E80" s="52">
        <f t="shared" si="15"/>
        <v>112561356000000</v>
      </c>
      <c r="F80" s="52">
        <v>140478220000000</v>
      </c>
      <c r="G80" s="52">
        <f t="shared" si="14"/>
        <v>126519788000000</v>
      </c>
      <c r="H80" s="44">
        <f t="shared" si="11"/>
        <v>0.18173973702832952</v>
      </c>
    </row>
    <row r="81" spans="2:8" s="38" customFormat="1" ht="14.4" thickBot="1" x14ac:dyDescent="0.3">
      <c r="B81" s="46"/>
      <c r="C81" s="42" t="s">
        <v>219</v>
      </c>
      <c r="D81" s="50">
        <f>SUM(D76:D80)/5</f>
        <v>12373483000000</v>
      </c>
      <c r="E81" s="50"/>
      <c r="F81" s="50"/>
      <c r="G81" s="50">
        <f>SUM(G76:G80)/5</f>
        <v>110345373500000</v>
      </c>
      <c r="H81" s="67">
        <f>SUM(H76:H80)/5</f>
        <v>0.10968151931347378</v>
      </c>
    </row>
    <row r="82" spans="2:8" ht="14.4" thickBot="1" x14ac:dyDescent="0.3">
      <c r="B82" s="115" t="s">
        <v>174</v>
      </c>
      <c r="C82" s="43">
        <v>2018</v>
      </c>
      <c r="D82" s="52">
        <v>-3296890000000</v>
      </c>
      <c r="E82" s="52">
        <v>56321441000000</v>
      </c>
      <c r="F82" s="52">
        <v>57613954000000</v>
      </c>
      <c r="G82" s="52">
        <f t="shared" ref="G82:G86" si="16">SUM(E82:F82)/2</f>
        <v>56967697500000</v>
      </c>
      <c r="H82" s="44">
        <f t="shared" si="11"/>
        <v>-5.7872972661392887E-2</v>
      </c>
    </row>
    <row r="83" spans="2:8" ht="14.4" thickBot="1" x14ac:dyDescent="0.3">
      <c r="B83" s="116"/>
      <c r="C83" s="43">
        <v>2019</v>
      </c>
      <c r="D83" s="52">
        <v>713000000000</v>
      </c>
      <c r="E83" s="52">
        <f t="shared" ref="E83:E86" si="17">F82</f>
        <v>57613954000000</v>
      </c>
      <c r="F83" s="52">
        <v>62725000000000</v>
      </c>
      <c r="G83" s="52">
        <f t="shared" si="16"/>
        <v>60169477000000</v>
      </c>
      <c r="H83" s="44">
        <f t="shared" si="11"/>
        <v>1.1849862015586408E-2</v>
      </c>
    </row>
    <row r="84" spans="2:8" ht="14.4" thickBot="1" x14ac:dyDescent="0.3">
      <c r="B84" s="116"/>
      <c r="C84" s="43">
        <v>2020</v>
      </c>
      <c r="D84" s="56">
        <v>372000000000</v>
      </c>
      <c r="E84" s="52">
        <f t="shared" si="17"/>
        <v>62725000000000</v>
      </c>
      <c r="F84" s="52">
        <v>67745000000000</v>
      </c>
      <c r="G84" s="52">
        <f t="shared" si="16"/>
        <v>65235000000000</v>
      </c>
      <c r="H84" s="44">
        <f t="shared" si="11"/>
        <v>5.7024603357093582E-3</v>
      </c>
    </row>
    <row r="85" spans="2:8" ht="14.4" thickBot="1" x14ac:dyDescent="0.3">
      <c r="B85" s="116"/>
      <c r="C85" s="43">
        <v>2021</v>
      </c>
      <c r="D85" s="52">
        <v>10608267000000</v>
      </c>
      <c r="E85" s="52">
        <f t="shared" si="17"/>
        <v>67745000000000</v>
      </c>
      <c r="F85" s="52">
        <v>112561356000000</v>
      </c>
      <c r="G85" s="52">
        <f t="shared" si="16"/>
        <v>90153178000000</v>
      </c>
      <c r="H85" s="44">
        <f t="shared" si="11"/>
        <v>0.11766936269290473</v>
      </c>
    </row>
    <row r="86" spans="2:8" ht="14.4" thickBot="1" x14ac:dyDescent="0.3">
      <c r="B86" s="116"/>
      <c r="C86" s="43">
        <v>2022</v>
      </c>
      <c r="D86" s="52">
        <v>22993673000000</v>
      </c>
      <c r="E86" s="52">
        <f t="shared" si="17"/>
        <v>112561356000000</v>
      </c>
      <c r="F86" s="52">
        <v>140478220000000</v>
      </c>
      <c r="G86" s="52">
        <f t="shared" si="16"/>
        <v>126519788000000</v>
      </c>
      <c r="H86" s="44">
        <f t="shared" si="11"/>
        <v>0.18173973702832952</v>
      </c>
    </row>
    <row r="87" spans="2:8" s="38" customFormat="1" ht="14.4" thickBot="1" x14ac:dyDescent="0.3">
      <c r="B87" s="46"/>
      <c r="C87" s="42" t="s">
        <v>219</v>
      </c>
      <c r="D87" s="50">
        <f>SUM(D82:D86)/5</f>
        <v>6278010000000</v>
      </c>
      <c r="E87" s="50"/>
      <c r="F87" s="50"/>
      <c r="G87" s="50">
        <f>SUM(G82:G86)/5</f>
        <v>79809028100000</v>
      </c>
      <c r="H87" s="67">
        <f>SUM(H82:H86)/5</f>
        <v>5.1817689882227423E-2</v>
      </c>
    </row>
    <row r="88" spans="2:8" ht="14.4" thickBot="1" x14ac:dyDescent="0.3">
      <c r="B88" s="126" t="s">
        <v>175</v>
      </c>
      <c r="C88" s="69">
        <v>2018</v>
      </c>
      <c r="D88" s="68">
        <v>2036491035000</v>
      </c>
      <c r="E88" s="68">
        <v>79192772790000</v>
      </c>
      <c r="F88" s="68">
        <v>82418600790000</v>
      </c>
      <c r="G88" s="52">
        <f t="shared" ref="G88:G92" si="18">SUM(E88:F88)/2</f>
        <v>80805686790000</v>
      </c>
      <c r="H88" s="44">
        <f t="shared" si="11"/>
        <v>2.5202323201490608E-2</v>
      </c>
    </row>
    <row r="89" spans="2:8" ht="14.4" thickBot="1" x14ac:dyDescent="0.3">
      <c r="B89" s="116"/>
      <c r="C89" s="69">
        <v>2019</v>
      </c>
      <c r="D89" s="68">
        <v>2073888000000</v>
      </c>
      <c r="E89" s="68">
        <f t="shared" ref="E89:E92" si="19">F88</f>
        <v>82418600790000</v>
      </c>
      <c r="F89" s="68">
        <v>99679570000000</v>
      </c>
      <c r="G89" s="52">
        <f t="shared" si="18"/>
        <v>91049085395000</v>
      </c>
      <c r="H89" s="44">
        <f t="shared" si="11"/>
        <v>2.277769173630698E-2</v>
      </c>
    </row>
    <row r="90" spans="2:8" ht="14.4" thickBot="1" x14ac:dyDescent="0.3">
      <c r="B90" s="116"/>
      <c r="C90" s="69">
        <v>2020</v>
      </c>
      <c r="D90" s="68">
        <v>-41629000000</v>
      </c>
      <c r="E90" s="68">
        <f t="shared" si="19"/>
        <v>99679570000000</v>
      </c>
      <c r="F90" s="70">
        <v>104086646000000</v>
      </c>
      <c r="G90" s="52">
        <f t="shared" si="18"/>
        <v>101883108000000</v>
      </c>
      <c r="H90" s="44">
        <f t="shared" si="11"/>
        <v>-4.0859570165448819E-4</v>
      </c>
    </row>
    <row r="91" spans="2:8" ht="14.4" thickBot="1" x14ac:dyDescent="0.3">
      <c r="B91" s="116"/>
      <c r="C91" s="69">
        <v>2021</v>
      </c>
      <c r="D91" s="68">
        <v>871236000000</v>
      </c>
      <c r="E91" s="68">
        <f t="shared" si="19"/>
        <v>104086646000000</v>
      </c>
      <c r="F91" s="68">
        <v>101242884000000</v>
      </c>
      <c r="G91" s="52">
        <f t="shared" si="18"/>
        <v>102664765000000</v>
      </c>
      <c r="H91" s="44">
        <f t="shared" si="11"/>
        <v>8.4862221230428952E-3</v>
      </c>
    </row>
    <row r="92" spans="2:8" ht="14.4" thickBot="1" x14ac:dyDescent="0.3">
      <c r="B92" s="116"/>
      <c r="C92" s="69">
        <v>2022</v>
      </c>
      <c r="D92" s="68">
        <v>2323708000000</v>
      </c>
      <c r="E92" s="68">
        <f t="shared" si="19"/>
        <v>101242884000000</v>
      </c>
      <c r="F92" s="68">
        <v>91139182000000</v>
      </c>
      <c r="G92" s="52">
        <f t="shared" si="18"/>
        <v>96191033000000</v>
      </c>
      <c r="H92" s="44">
        <f t="shared" si="11"/>
        <v>2.4157220559217821E-2</v>
      </c>
    </row>
    <row r="93" spans="2:8" s="38" customFormat="1" ht="14.4" thickBot="1" x14ac:dyDescent="0.3">
      <c r="B93" s="46"/>
      <c r="C93" s="42" t="s">
        <v>219</v>
      </c>
      <c r="D93" s="50">
        <f>SUM(D88:D92)/5</f>
        <v>1452738807000</v>
      </c>
      <c r="E93" s="50"/>
      <c r="F93" s="50"/>
      <c r="G93" s="50">
        <f>SUM(G88:G92)/5</f>
        <v>94518735637000</v>
      </c>
      <c r="H93" s="67">
        <f>SUM(H88:H92)/5</f>
        <v>1.6042972383680763E-2</v>
      </c>
    </row>
    <row r="94" spans="2:8" ht="14.4" thickBot="1" x14ac:dyDescent="0.3">
      <c r="B94" s="115" t="s">
        <v>176</v>
      </c>
      <c r="C94" s="43">
        <v>2018</v>
      </c>
      <c r="D94" s="52">
        <v>1958993059360</v>
      </c>
      <c r="E94" s="52">
        <v>41782780915111</v>
      </c>
      <c r="F94" s="52">
        <v>52549150902972</v>
      </c>
      <c r="G94" s="52">
        <f t="shared" ref="G94:G98" si="20">SUM(E94:F94)/2</f>
        <v>47165965909041.5</v>
      </c>
      <c r="H94" s="44">
        <f t="shared" si="11"/>
        <v>4.1534038826595301E-2</v>
      </c>
    </row>
    <row r="95" spans="2:8" ht="14.4" thickBot="1" x14ac:dyDescent="0.3">
      <c r="B95" s="116"/>
      <c r="C95" s="43">
        <v>2019</v>
      </c>
      <c r="D95" s="52">
        <v>1048153079883</v>
      </c>
      <c r="E95" s="52">
        <v>52549150902972</v>
      </c>
      <c r="F95" s="52">
        <v>56130526187076</v>
      </c>
      <c r="G95" s="52">
        <f t="shared" si="20"/>
        <v>54339838545024</v>
      </c>
      <c r="H95" s="44">
        <f t="shared" si="11"/>
        <v>1.9288851567244514E-2</v>
      </c>
    </row>
    <row r="96" spans="2:8" ht="14.4" thickBot="1" x14ac:dyDescent="0.3">
      <c r="B96" s="116"/>
      <c r="C96" s="43">
        <v>2020</v>
      </c>
      <c r="D96" s="52">
        <v>266269870851</v>
      </c>
      <c r="E96" s="52">
        <v>56130526187076</v>
      </c>
      <c r="F96" s="52">
        <v>53472450650976</v>
      </c>
      <c r="G96" s="52">
        <f t="shared" si="20"/>
        <v>54801488419026</v>
      </c>
      <c r="H96" s="44">
        <f t="shared" si="11"/>
        <v>4.858807279375944E-3</v>
      </c>
    </row>
    <row r="97" spans="2:8" ht="14.4" thickBot="1" x14ac:dyDescent="0.3">
      <c r="B97" s="116"/>
      <c r="C97" s="43">
        <v>2021</v>
      </c>
      <c r="D97" s="52">
        <v>361421984159</v>
      </c>
      <c r="E97" s="52">
        <v>53472450650976</v>
      </c>
      <c r="F97" s="52">
        <v>55573843735084</v>
      </c>
      <c r="G97" s="52">
        <f t="shared" si="20"/>
        <v>54523147193030</v>
      </c>
      <c r="H97" s="44">
        <f t="shared" si="11"/>
        <v>6.6287806696015998E-3</v>
      </c>
    </row>
    <row r="98" spans="2:8" ht="14.4" thickBot="1" x14ac:dyDescent="0.3">
      <c r="B98" s="116"/>
      <c r="C98" s="43">
        <v>2022</v>
      </c>
      <c r="D98" s="52">
        <v>365741731064</v>
      </c>
      <c r="E98" s="52">
        <v>55573843735084</v>
      </c>
      <c r="F98" s="52">
        <v>57612383140536</v>
      </c>
      <c r="G98" s="52">
        <f t="shared" si="20"/>
        <v>56593113437810</v>
      </c>
      <c r="H98" s="44">
        <f t="shared" si="11"/>
        <v>6.4626543557444044E-3</v>
      </c>
    </row>
    <row r="99" spans="2:8" s="38" customFormat="1" ht="14.4" thickBot="1" x14ac:dyDescent="0.3">
      <c r="B99" s="46"/>
      <c r="C99" s="42" t="s">
        <v>219</v>
      </c>
      <c r="D99" s="50">
        <f>SUM(D94:D98)/5</f>
        <v>800115945063.40002</v>
      </c>
      <c r="E99" s="50"/>
      <c r="F99" s="50"/>
      <c r="G99" s="50">
        <f>SUM(G94:G98)/5</f>
        <v>53484710700786.297</v>
      </c>
      <c r="H99" s="67">
        <f>SUM(H94:H98)/5</f>
        <v>1.5754626539712352E-2</v>
      </c>
    </row>
    <row r="100" spans="2:8" ht="14.4" thickBot="1" x14ac:dyDescent="0.3">
      <c r="B100" s="115" t="s">
        <v>177</v>
      </c>
      <c r="C100" s="43">
        <v>2018</v>
      </c>
      <c r="D100" s="52">
        <v>1520723000000</v>
      </c>
      <c r="E100" s="52">
        <v>25119609000000</v>
      </c>
      <c r="F100" s="52">
        <v>26856967000000</v>
      </c>
      <c r="G100" s="52">
        <f t="shared" ref="G100:G104" si="21">SUM(E100:F100)/2</f>
        <v>25988288000000</v>
      </c>
      <c r="H100" s="44">
        <f t="shared" si="11"/>
        <v>5.8515705228447519E-2</v>
      </c>
    </row>
    <row r="101" spans="2:8" ht="14.4" thickBot="1" x14ac:dyDescent="0.3">
      <c r="B101" s="116"/>
      <c r="C101" s="43">
        <v>2019</v>
      </c>
      <c r="D101" s="52">
        <v>243629000000</v>
      </c>
      <c r="E101" s="52">
        <f t="shared" ref="E101:E104" si="22">F100</f>
        <v>26856967000000</v>
      </c>
      <c r="F101" s="52">
        <v>26974124000000</v>
      </c>
      <c r="G101" s="52">
        <f t="shared" si="21"/>
        <v>26915545500000</v>
      </c>
      <c r="H101" s="44">
        <f t="shared" si="11"/>
        <v>9.0516092270914589E-3</v>
      </c>
    </row>
    <row r="102" spans="2:8" ht="14.4" thickBot="1" x14ac:dyDescent="0.3">
      <c r="B102" s="116"/>
      <c r="C102" s="43">
        <v>2020</v>
      </c>
      <c r="D102" s="52">
        <v>893779000000</v>
      </c>
      <c r="E102" s="52">
        <f t="shared" si="22"/>
        <v>26974124000000</v>
      </c>
      <c r="F102" s="52">
        <v>27781231000000</v>
      </c>
      <c r="G102" s="52">
        <f t="shared" si="21"/>
        <v>27377677500000</v>
      </c>
      <c r="H102" s="44">
        <f t="shared" si="11"/>
        <v>3.2646268113867581E-2</v>
      </c>
    </row>
    <row r="103" spans="2:8" ht="14.4" thickBot="1" x14ac:dyDescent="0.3">
      <c r="B103" s="116"/>
      <c r="C103" s="43">
        <v>2021</v>
      </c>
      <c r="D103" s="52">
        <v>2067362000000</v>
      </c>
      <c r="E103" s="52">
        <f t="shared" si="22"/>
        <v>27781231000000</v>
      </c>
      <c r="F103" s="52">
        <v>30399906000000</v>
      </c>
      <c r="G103" s="52">
        <f t="shared" si="21"/>
        <v>29090568500000</v>
      </c>
      <c r="H103" s="44">
        <f t="shared" si="11"/>
        <v>7.1066400782095404E-2</v>
      </c>
    </row>
    <row r="104" spans="2:8" ht="14.4" thickBot="1" x14ac:dyDescent="0.3">
      <c r="B104" s="116"/>
      <c r="C104" s="43">
        <v>2022</v>
      </c>
      <c r="D104" s="52">
        <v>1792050000000</v>
      </c>
      <c r="E104" s="52">
        <f t="shared" si="22"/>
        <v>30399906000000</v>
      </c>
      <c r="F104" s="52">
        <v>29249340000000</v>
      </c>
      <c r="G104" s="52">
        <f t="shared" si="21"/>
        <v>29824623000000</v>
      </c>
      <c r="H104" s="44">
        <f t="shared" si="11"/>
        <v>6.0086258257145447E-2</v>
      </c>
    </row>
    <row r="105" spans="2:8" s="38" customFormat="1" ht="14.4" thickBot="1" x14ac:dyDescent="0.3">
      <c r="B105" s="46"/>
      <c r="C105" s="42" t="s">
        <v>219</v>
      </c>
      <c r="D105" s="50">
        <f>SUM(D100:D104)/5</f>
        <v>1303508600000</v>
      </c>
      <c r="E105" s="50"/>
      <c r="F105" s="50"/>
      <c r="G105" s="50">
        <f>SUM(G100:G104)/5</f>
        <v>27839340500000</v>
      </c>
      <c r="H105" s="67">
        <f>SUM(H100:H104)/5</f>
        <v>4.6273248321729479E-2</v>
      </c>
    </row>
    <row r="106" spans="2:8" ht="14.4" thickBot="1" x14ac:dyDescent="0.3">
      <c r="B106" s="115" t="s">
        <v>178</v>
      </c>
      <c r="C106" s="43">
        <v>2018</v>
      </c>
      <c r="D106" s="52">
        <v>2073299864000</v>
      </c>
      <c r="E106" s="52">
        <v>45683774302000</v>
      </c>
      <c r="F106" s="52">
        <v>59230001239000</v>
      </c>
      <c r="G106" s="52">
        <f t="shared" ref="G106:G110" si="23">SUM(E106:F106)/2</f>
        <v>52456887770500</v>
      </c>
      <c r="H106" s="44">
        <f t="shared" si="11"/>
        <v>3.952388241313002E-2</v>
      </c>
    </row>
    <row r="107" spans="2:8" ht="14.4" thickBot="1" x14ac:dyDescent="0.3">
      <c r="B107" s="116"/>
      <c r="C107" s="43">
        <v>2019</v>
      </c>
      <c r="D107" s="52">
        <v>2621015140000</v>
      </c>
      <c r="E107" s="52">
        <v>59230001239000</v>
      </c>
      <c r="F107" s="52">
        <v>62110847154000</v>
      </c>
      <c r="G107" s="52">
        <f t="shared" si="23"/>
        <v>60670424196500</v>
      </c>
      <c r="H107" s="44">
        <f t="shared" si="11"/>
        <v>4.3200870518245081E-2</v>
      </c>
    </row>
    <row r="108" spans="2:8" ht="14.4" thickBot="1" x14ac:dyDescent="0.3">
      <c r="B108" s="116"/>
      <c r="C108" s="43">
        <v>2020</v>
      </c>
      <c r="D108" s="52">
        <v>322342513000</v>
      </c>
      <c r="E108" s="52">
        <v>62110847154000</v>
      </c>
      <c r="F108" s="52">
        <v>68109185213000</v>
      </c>
      <c r="G108" s="52">
        <f t="shared" si="23"/>
        <v>65110016183500</v>
      </c>
      <c r="H108" s="44">
        <f t="shared" si="11"/>
        <v>4.9507361830711258E-3</v>
      </c>
    </row>
    <row r="109" spans="2:8" ht="14.4" thickBot="1" x14ac:dyDescent="0.3">
      <c r="B109" s="116"/>
      <c r="C109" s="43">
        <v>2021</v>
      </c>
      <c r="D109" s="52">
        <v>214424794000</v>
      </c>
      <c r="E109" s="52">
        <v>68109185213000</v>
      </c>
      <c r="F109" s="52">
        <v>69385794346000</v>
      </c>
      <c r="G109" s="52">
        <f t="shared" si="23"/>
        <v>68747489779500</v>
      </c>
      <c r="H109" s="44">
        <f t="shared" si="11"/>
        <v>3.1190199771328948E-3</v>
      </c>
    </row>
    <row r="110" spans="2:8" ht="14.4" thickBot="1" x14ac:dyDescent="0.3">
      <c r="B110" s="116"/>
      <c r="C110" s="43">
        <v>2022</v>
      </c>
      <c r="D110" s="52">
        <v>12586435000</v>
      </c>
      <c r="E110" s="52">
        <v>69385794346000</v>
      </c>
      <c r="F110" s="52">
        <v>75069604222000</v>
      </c>
      <c r="G110" s="52">
        <f t="shared" si="23"/>
        <v>72227699284000</v>
      </c>
      <c r="H110" s="44">
        <f t="shared" si="11"/>
        <v>1.7426050012350549E-4</v>
      </c>
    </row>
    <row r="111" spans="2:8" s="38" customFormat="1" ht="14.4" thickBot="1" x14ac:dyDescent="0.3">
      <c r="B111" s="46"/>
      <c r="C111" s="42" t="s">
        <v>219</v>
      </c>
      <c r="D111" s="50">
        <f>SUM(D106:D110)/5</f>
        <v>1048733749200</v>
      </c>
      <c r="E111" s="50"/>
      <c r="F111" s="50"/>
      <c r="G111" s="50">
        <f>SUM(G106:G110)/5</f>
        <v>63842503442800</v>
      </c>
      <c r="H111" s="67">
        <f>SUM(H106:H110)/5</f>
        <v>1.8193753918340525E-2</v>
      </c>
    </row>
    <row r="112" spans="2:8" ht="14.4" thickBot="1" x14ac:dyDescent="0.3">
      <c r="B112" s="115" t="s">
        <v>179</v>
      </c>
      <c r="C112" s="43">
        <v>2018</v>
      </c>
      <c r="D112" s="52">
        <v>4619567705553</v>
      </c>
      <c r="E112" s="52">
        <v>97895760838624</v>
      </c>
      <c r="F112" s="52">
        <v>124391581623636</v>
      </c>
      <c r="G112" s="52">
        <f t="shared" ref="G112:G116" si="24">SUM(E112:F112)/2</f>
        <v>111143671231130</v>
      </c>
      <c r="H112" s="44">
        <f t="shared" si="11"/>
        <v>4.1563929411206228E-2</v>
      </c>
    </row>
    <row r="113" spans="2:8" ht="14.4" thickBot="1" x14ac:dyDescent="0.3">
      <c r="B113" s="116"/>
      <c r="C113" s="43">
        <v>2019</v>
      </c>
      <c r="D113" s="52">
        <v>1028898367891</v>
      </c>
      <c r="E113" s="52">
        <v>124391581623636</v>
      </c>
      <c r="F113" s="52">
        <v>122589259350571</v>
      </c>
      <c r="G113" s="52">
        <f t="shared" si="24"/>
        <v>123490420487103.5</v>
      </c>
      <c r="H113" s="44">
        <f t="shared" si="11"/>
        <v>8.3318071461134201E-3</v>
      </c>
    </row>
    <row r="114" spans="2:8" ht="14.4" thickBot="1" x14ac:dyDescent="0.3">
      <c r="B114" s="116"/>
      <c r="C114" s="43">
        <v>2020</v>
      </c>
      <c r="D114" s="52">
        <v>-9495726146546</v>
      </c>
      <c r="E114" s="52">
        <v>122589259350571</v>
      </c>
      <c r="F114" s="52">
        <v>105588960060005</v>
      </c>
      <c r="G114" s="52">
        <f t="shared" si="24"/>
        <v>114089109705288</v>
      </c>
      <c r="H114" s="44">
        <f t="shared" si="11"/>
        <v>-8.323078487574416E-2</v>
      </c>
    </row>
    <row r="115" spans="2:8" ht="14.4" thickBot="1" x14ac:dyDescent="0.3">
      <c r="B115" s="116"/>
      <c r="C115" s="43">
        <v>2021</v>
      </c>
      <c r="D115" s="52">
        <v>-1838733441975</v>
      </c>
      <c r="E115" s="52">
        <v>105588960060005</v>
      </c>
      <c r="F115" s="52">
        <v>103601611883340</v>
      </c>
      <c r="G115" s="52">
        <f t="shared" si="24"/>
        <v>104595285971672.5</v>
      </c>
      <c r="H115" s="44">
        <f t="shared" si="11"/>
        <v>-1.7579505853380271E-2</v>
      </c>
    </row>
    <row r="116" spans="2:8" ht="14.4" thickBot="1" x14ac:dyDescent="0.3">
      <c r="B116" s="116"/>
      <c r="C116" s="43">
        <v>2022</v>
      </c>
      <c r="D116" s="52">
        <v>-1672733807060</v>
      </c>
      <c r="E116" s="52">
        <v>103601611883340</v>
      </c>
      <c r="F116" s="52">
        <v>98232316628846</v>
      </c>
      <c r="G116" s="52">
        <f t="shared" si="24"/>
        <v>100916964256093</v>
      </c>
      <c r="H116" s="44">
        <f t="shared" si="11"/>
        <v>-1.657534805362525E-2</v>
      </c>
    </row>
    <row r="117" spans="2:8" s="38" customFormat="1" ht="14.4" thickBot="1" x14ac:dyDescent="0.3">
      <c r="B117" s="46"/>
      <c r="C117" s="42" t="s">
        <v>219</v>
      </c>
      <c r="D117" s="50">
        <f>SUM(D112:D116)/5</f>
        <v>-1471745464427.3999</v>
      </c>
      <c r="E117" s="50"/>
      <c r="F117" s="50"/>
      <c r="G117" s="50">
        <f>SUM(G112:G116)/5</f>
        <v>110847090330257.41</v>
      </c>
      <c r="H117" s="67">
        <f>SUM(H112:H116)/5</f>
        <v>-1.3497980445086008E-2</v>
      </c>
    </row>
    <row r="118" spans="2:8" ht="14.4" thickBot="1" x14ac:dyDescent="0.3">
      <c r="B118" s="115" t="s">
        <v>180</v>
      </c>
      <c r="C118" s="43">
        <v>2018</v>
      </c>
      <c r="D118" s="52">
        <f>3936000*J4</f>
        <v>57280608000</v>
      </c>
      <c r="E118" s="52">
        <f>340066000*L4</f>
        <v>4630338656000</v>
      </c>
      <c r="F118" s="52">
        <f>411225000*J4</f>
        <v>5984557425000</v>
      </c>
      <c r="G118" s="52">
        <f t="shared" ref="G118:G122" si="25">SUM(E118:F118)/2</f>
        <v>5307448040500</v>
      </c>
      <c r="H118" s="44">
        <f t="shared" si="11"/>
        <v>1.0792495293953694E-2</v>
      </c>
    </row>
    <row r="119" spans="2:8" ht="14.4" thickBot="1" x14ac:dyDescent="0.3">
      <c r="B119" s="116"/>
      <c r="C119" s="43">
        <v>2019</v>
      </c>
      <c r="D119" s="52">
        <f>-12299000*J5</f>
        <v>-171817030000</v>
      </c>
      <c r="E119" s="52">
        <f t="shared" ref="E119:E122" si="26">F118</f>
        <v>5984557425000</v>
      </c>
      <c r="F119" s="52">
        <f>480886000*J5</f>
        <v>6717977420000</v>
      </c>
      <c r="G119" s="52">
        <f t="shared" si="25"/>
        <v>6351267422500</v>
      </c>
      <c r="H119" s="44">
        <f t="shared" si="11"/>
        <v>-2.7052400500618346E-2</v>
      </c>
    </row>
    <row r="120" spans="2:8" ht="14.4" thickBot="1" x14ac:dyDescent="0.3">
      <c r="B120" s="116"/>
      <c r="C120" s="43">
        <v>2020</v>
      </c>
      <c r="D120" s="52">
        <f>-6011000*J6</f>
        <v>-85205925000</v>
      </c>
      <c r="E120" s="52">
        <f t="shared" si="26"/>
        <v>6717977420000</v>
      </c>
      <c r="F120" s="52">
        <f>464637000*J6</f>
        <v>6586229475000</v>
      </c>
      <c r="G120" s="52">
        <f t="shared" si="25"/>
        <v>6652103447500</v>
      </c>
      <c r="H120" s="44">
        <f t="shared" si="11"/>
        <v>-1.2808869506084151E-2</v>
      </c>
    </row>
    <row r="121" spans="2:8" ht="14.4" thickBot="1" x14ac:dyDescent="0.3">
      <c r="B121" s="116"/>
      <c r="C121" s="43">
        <v>2021</v>
      </c>
      <c r="D121" s="52">
        <f>618000*J7</f>
        <v>8862120000</v>
      </c>
      <c r="E121" s="52">
        <f t="shared" si="26"/>
        <v>6586229475000</v>
      </c>
      <c r="F121" s="52">
        <f>474549000*J7</f>
        <v>6805032660000</v>
      </c>
      <c r="G121" s="52">
        <f t="shared" si="25"/>
        <v>6695631067500</v>
      </c>
      <c r="H121" s="44">
        <f t="shared" si="11"/>
        <v>1.323567548847777E-3</v>
      </c>
    </row>
    <row r="122" spans="2:8" ht="14.4" thickBot="1" x14ac:dyDescent="0.3">
      <c r="B122" s="116"/>
      <c r="C122" s="43">
        <v>2022</v>
      </c>
      <c r="D122" s="52">
        <f>-20489000*J8</f>
        <v>-323910601000</v>
      </c>
      <c r="E122" s="52">
        <f t="shared" si="26"/>
        <v>6805032660000</v>
      </c>
      <c r="F122" s="52">
        <f>467802000*J8</f>
        <v>7395481818000</v>
      </c>
      <c r="G122" s="52">
        <f t="shared" si="25"/>
        <v>7100257239000</v>
      </c>
      <c r="H122" s="44">
        <f t="shared" si="11"/>
        <v>-4.5619558573291856E-2</v>
      </c>
    </row>
    <row r="123" spans="2:8" s="38" customFormat="1" ht="14.4" thickBot="1" x14ac:dyDescent="0.3">
      <c r="B123" s="46"/>
      <c r="C123" s="42" t="s">
        <v>219</v>
      </c>
      <c r="D123" s="50">
        <f>SUM(D118:D122)/5</f>
        <v>-102958165600</v>
      </c>
      <c r="E123" s="50"/>
      <c r="F123" s="50"/>
      <c r="G123" s="50">
        <f>SUM(G118:G122)/5</f>
        <v>6421341443400</v>
      </c>
      <c r="H123" s="67">
        <f>SUM(H118:H122)/5</f>
        <v>-1.4672953147438578E-2</v>
      </c>
    </row>
    <row r="124" spans="2:8" ht="14.4" thickBot="1" x14ac:dyDescent="0.3">
      <c r="B124" s="115" t="s">
        <v>181</v>
      </c>
      <c r="C124" s="43">
        <v>2018</v>
      </c>
      <c r="D124" s="52">
        <v>1145937000000</v>
      </c>
      <c r="E124" s="52">
        <v>28863676000000</v>
      </c>
      <c r="F124" s="52">
        <v>27788562000000</v>
      </c>
      <c r="G124" s="52">
        <f t="shared" ref="G124:G128" si="27">SUM(E124:F124)/2</f>
        <v>28326119000000</v>
      </c>
      <c r="H124" s="44">
        <f t="shared" si="11"/>
        <v>4.0455136123660286E-2</v>
      </c>
    </row>
    <row r="125" spans="2:8" ht="14.4" thickBot="1" x14ac:dyDescent="0.3">
      <c r="B125" s="116"/>
      <c r="C125" s="43">
        <v>2019</v>
      </c>
      <c r="D125" s="52">
        <v>1835305000000</v>
      </c>
      <c r="E125" s="52">
        <v>27788562000000</v>
      </c>
      <c r="F125" s="52">
        <v>27707749000000</v>
      </c>
      <c r="G125" s="52">
        <f t="shared" si="27"/>
        <v>27748155500000</v>
      </c>
      <c r="H125" s="44">
        <f t="shared" si="11"/>
        <v>6.6141513442217803E-2</v>
      </c>
    </row>
    <row r="126" spans="2:8" ht="14.4" thickBot="1" x14ac:dyDescent="0.3">
      <c r="B126" s="116"/>
      <c r="C126" s="43">
        <v>2020</v>
      </c>
      <c r="D126" s="52">
        <v>1806337000000</v>
      </c>
      <c r="E126" s="52">
        <v>27707749000000</v>
      </c>
      <c r="F126" s="52">
        <v>27344672000000</v>
      </c>
      <c r="G126" s="52">
        <f t="shared" si="27"/>
        <v>27526210500000</v>
      </c>
      <c r="H126" s="44">
        <f t="shared" si="11"/>
        <v>6.5622436477407592E-2</v>
      </c>
    </row>
    <row r="127" spans="2:8" ht="14.4" thickBot="1" x14ac:dyDescent="0.3">
      <c r="B127" s="116"/>
      <c r="C127" s="43">
        <v>2021</v>
      </c>
      <c r="D127" s="52">
        <v>1788496000000</v>
      </c>
      <c r="E127" s="52">
        <v>27344672000000</v>
      </c>
      <c r="F127" s="52">
        <v>26136114000000</v>
      </c>
      <c r="G127" s="52">
        <f t="shared" si="27"/>
        <v>26740393000000</v>
      </c>
      <c r="H127" s="44">
        <f t="shared" si="11"/>
        <v>6.6883684170236393E-2</v>
      </c>
    </row>
    <row r="128" spans="2:8" ht="14.4" thickBot="1" x14ac:dyDescent="0.3">
      <c r="B128" s="116"/>
      <c r="C128" s="43">
        <v>2022</v>
      </c>
      <c r="D128" s="52">
        <v>1842434000000</v>
      </c>
      <c r="E128" s="52">
        <v>26136114000000</v>
      </c>
      <c r="F128" s="52">
        <v>25706169000000</v>
      </c>
      <c r="G128" s="52">
        <f t="shared" si="27"/>
        <v>25921141500000</v>
      </c>
      <c r="H128" s="44">
        <f t="shared" si="11"/>
        <v>7.1078428394058188E-2</v>
      </c>
    </row>
    <row r="129" spans="2:8" s="38" customFormat="1" ht="14.4" thickBot="1" x14ac:dyDescent="0.3">
      <c r="B129" s="46"/>
      <c r="C129" s="42" t="s">
        <v>219</v>
      </c>
      <c r="D129" s="50">
        <f>SUM(D124:D128)/5</f>
        <v>1683701800000</v>
      </c>
      <c r="E129" s="50"/>
      <c r="F129" s="50"/>
      <c r="G129" s="50">
        <f>SUM(G124:G128)/5</f>
        <v>27252403900000</v>
      </c>
      <c r="H129" s="67">
        <f>SUM(H124:H128)/5</f>
        <v>6.2036239721516048E-2</v>
      </c>
    </row>
    <row r="130" spans="2:8" ht="14.4" thickBot="1" x14ac:dyDescent="0.3">
      <c r="B130" s="115" t="s">
        <v>182</v>
      </c>
      <c r="C130" s="43">
        <v>2018</v>
      </c>
      <c r="D130" s="52">
        <v>-827985000000</v>
      </c>
      <c r="E130" s="52">
        <v>19626403000000</v>
      </c>
      <c r="F130" s="52">
        <v>18667187000000</v>
      </c>
      <c r="G130" s="52">
        <f t="shared" ref="G130:G134" si="28">SUM(E130:F130)/2</f>
        <v>19146795000000</v>
      </c>
      <c r="H130" s="44">
        <f t="shared" si="11"/>
        <v>-4.3244052072422566E-2</v>
      </c>
    </row>
    <row r="131" spans="2:8" ht="14.4" thickBot="1" x14ac:dyDescent="0.3">
      <c r="B131" s="116"/>
      <c r="C131" s="43">
        <v>2019</v>
      </c>
      <c r="D131" s="52">
        <v>499052000000</v>
      </c>
      <c r="E131" s="52">
        <v>18667187000000</v>
      </c>
      <c r="F131" s="52">
        <v>19567498000000</v>
      </c>
      <c r="G131" s="52">
        <f t="shared" si="28"/>
        <v>19117342500000</v>
      </c>
      <c r="H131" s="44">
        <f t="shared" si="11"/>
        <v>2.6104674329081042E-2</v>
      </c>
    </row>
    <row r="132" spans="2:8" ht="14.4" thickBot="1" x14ac:dyDescent="0.3">
      <c r="B132" s="116"/>
      <c r="C132" s="43">
        <v>2020</v>
      </c>
      <c r="D132" s="52">
        <v>650988000000</v>
      </c>
      <c r="E132" s="52">
        <v>19567498000000</v>
      </c>
      <c r="F132" s="52">
        <v>20738125000000</v>
      </c>
      <c r="G132" s="52">
        <f t="shared" si="28"/>
        <v>20152811500000</v>
      </c>
      <c r="H132" s="44">
        <f t="shared" si="11"/>
        <v>3.2302589641152554E-2</v>
      </c>
    </row>
    <row r="133" spans="2:8" ht="14.4" thickBot="1" x14ac:dyDescent="0.3">
      <c r="B133" s="116"/>
      <c r="C133" s="43">
        <v>2021</v>
      </c>
      <c r="D133" s="52">
        <v>713344000000</v>
      </c>
      <c r="E133" s="52">
        <v>20738125000000</v>
      </c>
      <c r="F133" s="52">
        <v>21491023000000</v>
      </c>
      <c r="G133" s="52">
        <f t="shared" si="28"/>
        <v>21114574000000</v>
      </c>
      <c r="H133" s="44">
        <f t="shared" ref="H133:H158" si="29">D133/G133</f>
        <v>3.3784437232785278E-2</v>
      </c>
    </row>
    <row r="134" spans="2:8" ht="14.4" thickBot="1" x14ac:dyDescent="0.3">
      <c r="B134" s="116"/>
      <c r="C134" s="43">
        <v>2022</v>
      </c>
      <c r="D134" s="52">
        <v>839276000000</v>
      </c>
      <c r="E134" s="52">
        <v>21491023000000</v>
      </c>
      <c r="F134" s="52">
        <v>21378510000000</v>
      </c>
      <c r="G134" s="52">
        <f t="shared" si="28"/>
        <v>21434766500000</v>
      </c>
      <c r="H134" s="44">
        <f t="shared" si="29"/>
        <v>3.915489352309949E-2</v>
      </c>
    </row>
    <row r="135" spans="2:8" s="38" customFormat="1" ht="14.4" thickBot="1" x14ac:dyDescent="0.3">
      <c r="B135" s="46"/>
      <c r="C135" s="42" t="s">
        <v>219</v>
      </c>
      <c r="D135" s="50">
        <f>SUM(D130:D134)/5</f>
        <v>374935000000</v>
      </c>
      <c r="E135" s="50"/>
      <c r="F135" s="50"/>
      <c r="G135" s="50">
        <f>SUM(G130:G134)/5</f>
        <v>20193257900000</v>
      </c>
      <c r="H135" s="67">
        <f>SUM(H130:H134)/5</f>
        <v>1.7620508530739161E-2</v>
      </c>
    </row>
    <row r="136" spans="2:8" ht="14.4" thickBot="1" x14ac:dyDescent="0.3">
      <c r="B136" s="115" t="s">
        <v>183</v>
      </c>
      <c r="C136" s="43">
        <v>2018</v>
      </c>
      <c r="D136" s="52">
        <v>1531109955765</v>
      </c>
      <c r="E136" s="52">
        <v>55385895715893</v>
      </c>
      <c r="F136" s="52">
        <v>62493190581375</v>
      </c>
      <c r="G136" s="52">
        <f t="shared" ref="G136:G140" si="30">SUM(E136:F136)/2</f>
        <v>58939543148634</v>
      </c>
      <c r="H136" s="44">
        <f t="shared" si="29"/>
        <v>2.5977635284750004E-2</v>
      </c>
    </row>
    <row r="137" spans="2:8" ht="14.4" thickBot="1" x14ac:dyDescent="0.3">
      <c r="B137" s="116"/>
      <c r="C137" s="43">
        <v>2019</v>
      </c>
      <c r="D137" s="52">
        <v>1703593594680</v>
      </c>
      <c r="E137" s="52">
        <v>62493190581375</v>
      </c>
      <c r="F137" s="52">
        <v>75818614841004</v>
      </c>
      <c r="G137" s="52">
        <f t="shared" si="30"/>
        <v>69155902711189.5</v>
      </c>
      <c r="H137" s="44">
        <f t="shared" si="29"/>
        <v>2.4634102482829087E-2</v>
      </c>
    </row>
    <row r="138" spans="2:8" ht="14.4" thickBot="1" x14ac:dyDescent="0.3">
      <c r="B138" s="116"/>
      <c r="C138" s="43">
        <v>2020</v>
      </c>
      <c r="D138" s="52">
        <v>1906740693489</v>
      </c>
      <c r="E138" s="52">
        <v>75818614841004</v>
      </c>
      <c r="F138" s="52">
        <v>100740244241489</v>
      </c>
      <c r="G138" s="52">
        <f t="shared" si="30"/>
        <v>88279429541246.5</v>
      </c>
      <c r="H138" s="44">
        <f t="shared" si="29"/>
        <v>2.1598924046038609E-2</v>
      </c>
    </row>
    <row r="139" spans="2:8" ht="14.4" thickBot="1" x14ac:dyDescent="0.3">
      <c r="B139" s="116"/>
      <c r="C139" s="43">
        <v>2021</v>
      </c>
      <c r="D139" s="52">
        <v>1830133106759</v>
      </c>
      <c r="E139" s="52">
        <v>100740244241489</v>
      </c>
      <c r="F139" s="52">
        <v>114502100088563</v>
      </c>
      <c r="G139" s="52">
        <f t="shared" si="30"/>
        <v>107621172165026</v>
      </c>
      <c r="H139" s="44">
        <f t="shared" si="29"/>
        <v>1.7005325903277461E-2</v>
      </c>
    </row>
    <row r="140" spans="2:8" ht="14.4" thickBot="1" x14ac:dyDescent="0.3">
      <c r="B140" s="116"/>
      <c r="C140" s="43">
        <v>2022</v>
      </c>
      <c r="D140" s="52">
        <v>2163747374525</v>
      </c>
      <c r="E140" s="52">
        <v>114502100088563</v>
      </c>
      <c r="F140" s="52">
        <v>117128782653398</v>
      </c>
      <c r="G140" s="52">
        <f t="shared" si="30"/>
        <v>115815441370980.5</v>
      </c>
      <c r="H140" s="44">
        <f t="shared" si="29"/>
        <v>1.8682719237705751E-2</v>
      </c>
    </row>
    <row r="141" spans="2:8" s="38" customFormat="1" ht="14.4" thickBot="1" x14ac:dyDescent="0.3">
      <c r="B141" s="46"/>
      <c r="C141" s="42" t="s">
        <v>219</v>
      </c>
      <c r="D141" s="50">
        <f>SUM(D136:D140)/5</f>
        <v>1827064945043.6001</v>
      </c>
      <c r="E141" s="50"/>
      <c r="F141" s="50"/>
      <c r="G141" s="50">
        <f>SUM(G136:G140)/5</f>
        <v>87962297787415.297</v>
      </c>
      <c r="H141" s="67">
        <f>SUM(H136:H140)/5</f>
        <v>2.1579741390920181E-2</v>
      </c>
    </row>
    <row r="142" spans="2:8" ht="14.4" thickBot="1" x14ac:dyDescent="0.3">
      <c r="B142" s="115" t="s">
        <v>184</v>
      </c>
      <c r="C142" s="43">
        <v>2018</v>
      </c>
      <c r="D142" s="52">
        <v>531349000000</v>
      </c>
      <c r="E142" s="52">
        <v>11876309000000</v>
      </c>
      <c r="F142" s="52">
        <v>15117948000000</v>
      </c>
      <c r="G142" s="52">
        <f t="shared" ref="G142:G146" si="31">SUM(E142:F142)/2</f>
        <v>13497128500000</v>
      </c>
      <c r="H142" s="44">
        <f t="shared" si="29"/>
        <v>3.9367558810750006E-2</v>
      </c>
    </row>
    <row r="143" spans="2:8" ht="14.4" thickBot="1" x14ac:dyDescent="0.3">
      <c r="B143" s="116"/>
      <c r="C143" s="43">
        <v>2019</v>
      </c>
      <c r="D143" s="52">
        <v>-611284000000</v>
      </c>
      <c r="E143" s="52">
        <v>15117948000000</v>
      </c>
      <c r="F143" s="52">
        <v>20361278000000</v>
      </c>
      <c r="G143" s="52">
        <f t="shared" si="31"/>
        <v>17739613000000</v>
      </c>
      <c r="H143" s="44">
        <f t="shared" si="29"/>
        <v>-3.445869986002513E-2</v>
      </c>
    </row>
    <row r="144" spans="2:8" ht="14.4" thickBot="1" x14ac:dyDescent="0.3">
      <c r="B144" s="116"/>
      <c r="C144" s="43">
        <v>2020</v>
      </c>
      <c r="D144" s="52">
        <v>-340602000000</v>
      </c>
      <c r="E144" s="52">
        <v>20361278000000</v>
      </c>
      <c r="F144" s="52">
        <v>14517700000000</v>
      </c>
      <c r="G144" s="52">
        <f t="shared" si="31"/>
        <v>17439489000000</v>
      </c>
      <c r="H144" s="44">
        <f t="shared" si="29"/>
        <v>-1.9530503445370447E-2</v>
      </c>
    </row>
    <row r="145" spans="2:8" ht="14.4" thickBot="1" x14ac:dyDescent="0.3">
      <c r="B145" s="116"/>
      <c r="C145" s="43">
        <v>2021</v>
      </c>
      <c r="D145" s="52">
        <v>1302843000000</v>
      </c>
      <c r="E145" s="52">
        <v>14517700000000</v>
      </c>
      <c r="F145" s="52">
        <v>14690989000000</v>
      </c>
      <c r="G145" s="52">
        <f t="shared" si="31"/>
        <v>14604344500000</v>
      </c>
      <c r="H145" s="44">
        <f t="shared" si="29"/>
        <v>8.9209276047959571E-2</v>
      </c>
    </row>
    <row r="146" spans="2:8" ht="14.4" thickBot="1" x14ac:dyDescent="0.3">
      <c r="B146" s="116"/>
      <c r="C146" s="43">
        <v>2022</v>
      </c>
      <c r="D146" s="52">
        <v>1041563000000</v>
      </c>
      <c r="E146" s="52">
        <v>14690989000000</v>
      </c>
      <c r="F146" s="52">
        <v>13066976000000</v>
      </c>
      <c r="G146" s="52">
        <f t="shared" si="31"/>
        <v>13878982500000</v>
      </c>
      <c r="H146" s="44">
        <f t="shared" si="29"/>
        <v>7.5046063355148698E-2</v>
      </c>
    </row>
    <row r="147" spans="2:8" s="38" customFormat="1" ht="14.4" thickBot="1" x14ac:dyDescent="0.3">
      <c r="B147" s="46"/>
      <c r="C147" s="42" t="s">
        <v>219</v>
      </c>
      <c r="D147" s="50">
        <f>SUM(D142:D146)/5</f>
        <v>384773800000</v>
      </c>
      <c r="E147" s="50"/>
      <c r="F147" s="50"/>
      <c r="G147" s="50">
        <f>SUM(G142:G146)/5</f>
        <v>15431911500000</v>
      </c>
      <c r="H147" s="67">
        <f>SUM(H142:H146)/5</f>
        <v>2.9926738981692534E-2</v>
      </c>
    </row>
    <row r="148" spans="2:8" ht="14.4" thickBot="1" x14ac:dyDescent="0.3">
      <c r="B148" s="115" t="s">
        <v>185</v>
      </c>
      <c r="C148" s="43">
        <v>2018</v>
      </c>
      <c r="D148" s="52">
        <v>1103472788182</v>
      </c>
      <c r="E148" s="52">
        <v>14919548673755</v>
      </c>
      <c r="F148" s="52">
        <v>15222388589814</v>
      </c>
      <c r="G148" s="52">
        <f t="shared" ref="G148:G152" si="32">SUM(E148:F148)/2</f>
        <v>15070968631784.5</v>
      </c>
      <c r="H148" s="44">
        <f t="shared" si="29"/>
        <v>7.3218438385890372E-2</v>
      </c>
    </row>
    <row r="149" spans="2:8" ht="14.4" thickBot="1" x14ac:dyDescent="0.3">
      <c r="B149" s="116"/>
      <c r="C149" s="43">
        <v>2019</v>
      </c>
      <c r="D149" s="52">
        <v>806148752926</v>
      </c>
      <c r="E149" s="52">
        <v>15222388589814</v>
      </c>
      <c r="F149" s="52">
        <v>16149121684330</v>
      </c>
      <c r="G149" s="52">
        <f t="shared" si="32"/>
        <v>15685755137072</v>
      </c>
      <c r="H149" s="44">
        <f t="shared" si="29"/>
        <v>5.1393684644530334E-2</v>
      </c>
    </row>
    <row r="150" spans="2:8" ht="14.4" thickBot="1" x14ac:dyDescent="0.3">
      <c r="B150" s="116"/>
      <c r="C150" s="43">
        <v>2020</v>
      </c>
      <c r="D150" s="52">
        <v>-4759958927543</v>
      </c>
      <c r="E150" s="52">
        <v>16149121684330</v>
      </c>
      <c r="F150" s="52">
        <v>10557550739243</v>
      </c>
      <c r="G150" s="52">
        <f t="shared" si="32"/>
        <v>13353336211786.5</v>
      </c>
      <c r="H150" s="44">
        <f t="shared" si="29"/>
        <v>-0.35646214938717402</v>
      </c>
    </row>
    <row r="151" spans="2:8" ht="14.4" thickBot="1" x14ac:dyDescent="0.3">
      <c r="B151" s="116"/>
      <c r="C151" s="43">
        <v>2021</v>
      </c>
      <c r="D151" s="52">
        <v>-1943362438396</v>
      </c>
      <c r="E151" s="52">
        <v>10557550739243</v>
      </c>
      <c r="F151" s="52">
        <v>6882077282159</v>
      </c>
      <c r="G151" s="52">
        <f t="shared" si="32"/>
        <v>8719814010701</v>
      </c>
      <c r="H151" s="44">
        <f t="shared" si="29"/>
        <v>-0.22286741850354788</v>
      </c>
    </row>
    <row r="152" spans="2:8" ht="14.4" thickBot="1" x14ac:dyDescent="0.3">
      <c r="B152" s="116"/>
      <c r="C152" s="43">
        <v>2022</v>
      </c>
      <c r="D152" s="52">
        <v>675769677491</v>
      </c>
      <c r="E152" s="52">
        <v>6882077282159</v>
      </c>
      <c r="F152" s="52">
        <v>5963657951878</v>
      </c>
      <c r="G152" s="52">
        <f t="shared" si="32"/>
        <v>6422867617018.5</v>
      </c>
      <c r="H152" s="44">
        <f t="shared" si="29"/>
        <v>0.10521307892138883</v>
      </c>
    </row>
    <row r="153" spans="2:8" s="38" customFormat="1" ht="14.4" thickBot="1" x14ac:dyDescent="0.3">
      <c r="B153" s="46"/>
      <c r="C153" s="42" t="s">
        <v>219</v>
      </c>
      <c r="D153" s="50">
        <f>SUM(D148:D152)/5</f>
        <v>-823586029468</v>
      </c>
      <c r="E153" s="50"/>
      <c r="F153" s="50"/>
      <c r="G153" s="50">
        <f>SUM(G148:G152)/5</f>
        <v>11850548321672.5</v>
      </c>
      <c r="H153" s="67">
        <f>SUM(H148:H152)/5</f>
        <v>-6.9900873187782472E-2</v>
      </c>
    </row>
    <row r="154" spans="2:8" ht="14.4" thickBot="1" x14ac:dyDescent="0.3">
      <c r="B154" s="115" t="s">
        <v>186</v>
      </c>
      <c r="C154" s="43">
        <v>2018</v>
      </c>
      <c r="D154" s="52">
        <v>486640174453</v>
      </c>
      <c r="E154" s="52">
        <v>7067976095043</v>
      </c>
      <c r="F154" s="52">
        <v>8881778299672</v>
      </c>
      <c r="G154" s="52">
        <f t="shared" ref="G154:G158" si="33">SUM(E154:F154)/2</f>
        <v>7974877197357.5</v>
      </c>
      <c r="H154" s="44">
        <f t="shared" si="29"/>
        <v>6.1021651169029877E-2</v>
      </c>
    </row>
    <row r="155" spans="2:8" ht="14.4" thickBot="1" x14ac:dyDescent="0.3">
      <c r="B155" s="116"/>
      <c r="C155" s="43">
        <v>2019</v>
      </c>
      <c r="D155" s="52">
        <v>510711733403</v>
      </c>
      <c r="E155" s="52">
        <v>8881778299672</v>
      </c>
      <c r="F155" s="52">
        <v>10337895087207</v>
      </c>
      <c r="G155" s="52">
        <f t="shared" si="33"/>
        <v>9609836693439.5</v>
      </c>
      <c r="H155" s="44">
        <f t="shared" si="29"/>
        <v>5.3144683899951778E-2</v>
      </c>
    </row>
    <row r="156" spans="2:8" ht="14.4" thickBot="1" x14ac:dyDescent="0.3">
      <c r="B156" s="116"/>
      <c r="C156" s="43">
        <v>2020</v>
      </c>
      <c r="D156" s="52">
        <v>123147079420</v>
      </c>
      <c r="E156" s="52">
        <v>10337895087207</v>
      </c>
      <c r="F156" s="52">
        <v>8509017299594</v>
      </c>
      <c r="G156" s="52">
        <f t="shared" si="33"/>
        <v>9423456193400.5</v>
      </c>
      <c r="H156" s="44">
        <f t="shared" si="29"/>
        <v>1.3068143671771214E-2</v>
      </c>
    </row>
    <row r="157" spans="2:8" ht="14.4" thickBot="1" x14ac:dyDescent="0.3">
      <c r="B157" s="116"/>
      <c r="C157" s="43">
        <v>2021</v>
      </c>
      <c r="D157" s="52">
        <v>81433957569</v>
      </c>
      <c r="E157" s="52">
        <v>8509017299594</v>
      </c>
      <c r="F157" s="52">
        <v>9082511044439</v>
      </c>
      <c r="G157" s="52">
        <f t="shared" si="33"/>
        <v>8795764172016.5</v>
      </c>
      <c r="H157" s="44">
        <f t="shared" si="29"/>
        <v>9.2583152499790822E-3</v>
      </c>
    </row>
    <row r="158" spans="2:8" ht="15" customHeight="1" thickBot="1" x14ac:dyDescent="0.3">
      <c r="B158" s="116"/>
      <c r="C158" s="43">
        <v>2022</v>
      </c>
      <c r="D158" s="52">
        <v>171060047099</v>
      </c>
      <c r="E158" s="52">
        <v>9082511044439</v>
      </c>
      <c r="F158" s="52">
        <v>9447528704261</v>
      </c>
      <c r="G158" s="52">
        <f t="shared" si="33"/>
        <v>9265019874350</v>
      </c>
      <c r="H158" s="44">
        <f t="shared" si="29"/>
        <v>1.8462998398155184E-2</v>
      </c>
    </row>
    <row r="159" spans="2:8" s="38" customFormat="1" ht="14.4" thickBot="1" x14ac:dyDescent="0.3">
      <c r="B159" s="46"/>
      <c r="C159" s="42" t="s">
        <v>219</v>
      </c>
      <c r="D159" s="50">
        <f>SUM(D154:D158)/5</f>
        <v>274598598388.79999</v>
      </c>
      <c r="E159" s="50"/>
      <c r="F159" s="50"/>
      <c r="G159" s="50">
        <f>SUM(G154:G158)/5</f>
        <v>9013790826112.8008</v>
      </c>
      <c r="H159" s="67">
        <f>SUM(H154:H158)/5</f>
        <v>3.099115847777743E-2</v>
      </c>
    </row>
    <row r="160" spans="2:8" ht="13.2" x14ac:dyDescent="0.25">
      <c r="D160" s="18"/>
      <c r="E160" s="18"/>
      <c r="F160" s="25"/>
      <c r="G160" s="25"/>
      <c r="H160" s="26"/>
    </row>
    <row r="161" spans="4:8" ht="13.2" x14ac:dyDescent="0.25">
      <c r="D161" s="18"/>
      <c r="E161" s="18"/>
      <c r="F161" s="25"/>
      <c r="G161" s="25"/>
      <c r="H161" s="26"/>
    </row>
    <row r="162" spans="4:8" ht="13.2" x14ac:dyDescent="0.25">
      <c r="D162" s="18"/>
      <c r="E162" s="18"/>
      <c r="F162" s="25"/>
      <c r="G162" s="25"/>
      <c r="H162" s="26"/>
    </row>
    <row r="163" spans="4:8" ht="13.2" x14ac:dyDescent="0.25">
      <c r="D163" s="18"/>
      <c r="E163" s="18"/>
      <c r="F163" s="25"/>
      <c r="G163" s="25"/>
      <c r="H163" s="26"/>
    </row>
    <row r="164" spans="4:8" ht="13.2" x14ac:dyDescent="0.25">
      <c r="D164" s="18"/>
      <c r="E164" s="18"/>
      <c r="F164" s="25"/>
      <c r="G164" s="25"/>
      <c r="H164" s="26"/>
    </row>
    <row r="165" spans="4:8" ht="13.2" x14ac:dyDescent="0.25">
      <c r="D165" s="18"/>
      <c r="E165" s="18"/>
      <c r="F165" s="25"/>
      <c r="G165" s="25"/>
      <c r="H165" s="26"/>
    </row>
    <row r="166" spans="4:8" ht="13.2" x14ac:dyDescent="0.25">
      <c r="D166" s="18"/>
      <c r="E166" s="18"/>
      <c r="F166" s="25"/>
      <c r="G166" s="25"/>
      <c r="H166" s="26"/>
    </row>
    <row r="167" spans="4:8" ht="13.2" x14ac:dyDescent="0.25">
      <c r="D167" s="18"/>
      <c r="E167" s="18"/>
      <c r="F167" s="25"/>
      <c r="G167" s="25"/>
      <c r="H167" s="26"/>
    </row>
    <row r="168" spans="4:8" ht="13.2" x14ac:dyDescent="0.25">
      <c r="D168" s="18"/>
      <c r="E168" s="18"/>
      <c r="F168" s="25"/>
      <c r="G168" s="25"/>
      <c r="H168" s="26"/>
    </row>
    <row r="169" spans="4:8" ht="13.2" x14ac:dyDescent="0.25">
      <c r="D169" s="18"/>
      <c r="E169" s="18"/>
      <c r="F169" s="25"/>
      <c r="G169" s="25"/>
      <c r="H169" s="26"/>
    </row>
    <row r="170" spans="4:8" ht="13.2" x14ac:dyDescent="0.25">
      <c r="D170" s="18"/>
      <c r="E170" s="18"/>
      <c r="F170" s="25"/>
      <c r="G170" s="25"/>
      <c r="H170" s="26"/>
    </row>
    <row r="171" spans="4:8" ht="13.2" x14ac:dyDescent="0.25">
      <c r="D171" s="18"/>
      <c r="E171" s="18"/>
      <c r="F171" s="25"/>
      <c r="G171" s="25"/>
      <c r="H171" s="26"/>
    </row>
    <row r="172" spans="4:8" ht="13.2" x14ac:dyDescent="0.25">
      <c r="D172" s="18"/>
      <c r="E172" s="18"/>
      <c r="F172" s="25"/>
      <c r="G172" s="25"/>
      <c r="H172" s="26"/>
    </row>
    <row r="173" spans="4:8" ht="13.2" x14ac:dyDescent="0.25">
      <c r="D173" s="18"/>
      <c r="E173" s="18"/>
      <c r="F173" s="25"/>
      <c r="G173" s="25"/>
      <c r="H173" s="26"/>
    </row>
    <row r="174" spans="4:8" ht="13.2" x14ac:dyDescent="0.25">
      <c r="D174" s="18"/>
      <c r="E174" s="18"/>
      <c r="F174" s="25"/>
      <c r="G174" s="25"/>
      <c r="H174" s="26"/>
    </row>
    <row r="175" spans="4:8" ht="13.2" x14ac:dyDescent="0.25">
      <c r="D175" s="18"/>
      <c r="E175" s="18"/>
      <c r="F175" s="25"/>
      <c r="G175" s="25"/>
      <c r="H175" s="26"/>
    </row>
    <row r="176" spans="4:8" ht="13.2" x14ac:dyDescent="0.25">
      <c r="D176" s="18"/>
      <c r="E176" s="18"/>
      <c r="F176" s="25"/>
      <c r="G176" s="25"/>
      <c r="H176" s="26"/>
    </row>
    <row r="177" spans="4:8" ht="13.2" x14ac:dyDescent="0.25">
      <c r="D177" s="18"/>
      <c r="E177" s="18"/>
      <c r="F177" s="25"/>
      <c r="G177" s="25"/>
      <c r="H177" s="26"/>
    </row>
    <row r="178" spans="4:8" ht="13.2" x14ac:dyDescent="0.25">
      <c r="D178" s="18"/>
      <c r="E178" s="18"/>
      <c r="F178" s="25"/>
      <c r="G178" s="25"/>
      <c r="H178" s="26"/>
    </row>
    <row r="179" spans="4:8" ht="13.2" x14ac:dyDescent="0.25">
      <c r="D179" s="18"/>
      <c r="E179" s="18"/>
      <c r="F179" s="25"/>
      <c r="G179" s="25"/>
      <c r="H179" s="26"/>
    </row>
    <row r="180" spans="4:8" ht="13.2" x14ac:dyDescent="0.25">
      <c r="D180" s="18"/>
      <c r="E180" s="18"/>
      <c r="F180" s="25"/>
      <c r="G180" s="25"/>
      <c r="H180" s="26"/>
    </row>
    <row r="181" spans="4:8" ht="13.2" x14ac:dyDescent="0.25">
      <c r="D181" s="18"/>
      <c r="E181" s="18"/>
      <c r="F181" s="25"/>
      <c r="G181" s="25"/>
      <c r="H181" s="26"/>
    </row>
    <row r="182" spans="4:8" ht="13.2" x14ac:dyDescent="0.25">
      <c r="D182" s="18"/>
      <c r="E182" s="18"/>
      <c r="F182" s="25"/>
      <c r="G182" s="25"/>
      <c r="H182" s="26"/>
    </row>
    <row r="183" spans="4:8" ht="13.2" x14ac:dyDescent="0.25">
      <c r="D183" s="18"/>
      <c r="E183" s="18"/>
      <c r="F183" s="25"/>
      <c r="G183" s="25"/>
      <c r="H183" s="26"/>
    </row>
    <row r="184" spans="4:8" ht="13.2" x14ac:dyDescent="0.25">
      <c r="D184" s="18"/>
      <c r="E184" s="18"/>
      <c r="F184" s="25"/>
      <c r="G184" s="25"/>
      <c r="H184" s="26"/>
    </row>
    <row r="185" spans="4:8" ht="13.2" x14ac:dyDescent="0.25">
      <c r="D185" s="18"/>
      <c r="E185" s="18"/>
      <c r="F185" s="25"/>
      <c r="G185" s="25"/>
      <c r="H185" s="26"/>
    </row>
    <row r="186" spans="4:8" ht="13.2" x14ac:dyDescent="0.25">
      <c r="D186" s="18"/>
      <c r="E186" s="18"/>
      <c r="F186" s="25"/>
      <c r="G186" s="25"/>
      <c r="H186" s="26"/>
    </row>
    <row r="187" spans="4:8" ht="13.2" x14ac:dyDescent="0.25">
      <c r="D187" s="18"/>
      <c r="E187" s="18"/>
      <c r="F187" s="25"/>
      <c r="G187" s="25"/>
      <c r="H187" s="26"/>
    </row>
    <row r="188" spans="4:8" ht="13.2" x14ac:dyDescent="0.25">
      <c r="D188" s="18"/>
      <c r="E188" s="18"/>
      <c r="F188" s="25"/>
      <c r="G188" s="25"/>
      <c r="H188" s="26"/>
    </row>
    <row r="189" spans="4:8" ht="13.2" x14ac:dyDescent="0.25">
      <c r="D189" s="18"/>
      <c r="E189" s="18"/>
      <c r="F189" s="25"/>
      <c r="G189" s="25"/>
      <c r="H189" s="26"/>
    </row>
    <row r="190" spans="4:8" ht="13.2" x14ac:dyDescent="0.25">
      <c r="D190" s="18"/>
      <c r="E190" s="18"/>
      <c r="F190" s="25"/>
      <c r="G190" s="25"/>
      <c r="H190" s="26"/>
    </row>
    <row r="191" spans="4:8" ht="13.2" x14ac:dyDescent="0.25">
      <c r="D191" s="18"/>
      <c r="E191" s="18"/>
      <c r="F191" s="25"/>
      <c r="G191" s="25"/>
      <c r="H191" s="26"/>
    </row>
    <row r="192" spans="4:8" ht="13.2" x14ac:dyDescent="0.25">
      <c r="D192" s="18"/>
      <c r="E192" s="18"/>
      <c r="F192" s="25"/>
      <c r="G192" s="25"/>
      <c r="H192" s="26"/>
    </row>
    <row r="193" spans="4:8" ht="13.2" x14ac:dyDescent="0.25">
      <c r="D193" s="18"/>
      <c r="E193" s="18"/>
      <c r="F193" s="25"/>
      <c r="G193" s="25"/>
      <c r="H193" s="26"/>
    </row>
    <row r="194" spans="4:8" ht="13.2" x14ac:dyDescent="0.25">
      <c r="D194" s="18"/>
      <c r="E194" s="18"/>
      <c r="F194" s="25"/>
      <c r="G194" s="25"/>
      <c r="H194" s="26"/>
    </row>
    <row r="195" spans="4:8" ht="13.2" x14ac:dyDescent="0.25">
      <c r="D195" s="18"/>
      <c r="E195" s="18"/>
      <c r="F195" s="25"/>
      <c r="G195" s="25"/>
      <c r="H195" s="26"/>
    </row>
    <row r="196" spans="4:8" ht="13.2" x14ac:dyDescent="0.25">
      <c r="D196" s="18"/>
      <c r="E196" s="18"/>
      <c r="F196" s="25"/>
      <c r="G196" s="25"/>
      <c r="H196" s="26"/>
    </row>
    <row r="197" spans="4:8" ht="13.2" x14ac:dyDescent="0.25">
      <c r="D197" s="18"/>
      <c r="E197" s="18"/>
      <c r="F197" s="25"/>
      <c r="G197" s="25"/>
      <c r="H197" s="26"/>
    </row>
    <row r="198" spans="4:8" ht="13.2" x14ac:dyDescent="0.25">
      <c r="D198" s="18"/>
      <c r="E198" s="18"/>
      <c r="F198" s="25"/>
      <c r="G198" s="25"/>
      <c r="H198" s="26"/>
    </row>
    <row r="199" spans="4:8" ht="13.2" x14ac:dyDescent="0.25">
      <c r="D199" s="18"/>
      <c r="E199" s="18"/>
      <c r="F199" s="25"/>
      <c r="G199" s="25"/>
      <c r="H199" s="26"/>
    </row>
    <row r="200" spans="4:8" ht="13.2" x14ac:dyDescent="0.25">
      <c r="D200" s="18"/>
      <c r="E200" s="18"/>
      <c r="F200" s="25"/>
      <c r="G200" s="25"/>
      <c r="H200" s="26"/>
    </row>
    <row r="201" spans="4:8" ht="13.2" x14ac:dyDescent="0.25">
      <c r="D201" s="18"/>
      <c r="E201" s="18"/>
      <c r="F201" s="25"/>
      <c r="G201" s="25"/>
      <c r="H201" s="26"/>
    </row>
    <row r="202" spans="4:8" ht="13.2" x14ac:dyDescent="0.25">
      <c r="D202" s="18"/>
      <c r="E202" s="18"/>
      <c r="F202" s="25"/>
      <c r="G202" s="25"/>
      <c r="H202" s="26"/>
    </row>
    <row r="203" spans="4:8" ht="13.2" x14ac:dyDescent="0.25">
      <c r="D203" s="18"/>
      <c r="E203" s="18"/>
      <c r="F203" s="25"/>
      <c r="G203" s="25"/>
      <c r="H203" s="26"/>
    </row>
    <row r="204" spans="4:8" ht="13.2" x14ac:dyDescent="0.25">
      <c r="D204" s="18"/>
      <c r="E204" s="18"/>
      <c r="F204" s="25"/>
      <c r="G204" s="25"/>
      <c r="H204" s="26"/>
    </row>
    <row r="205" spans="4:8" ht="13.2" x14ac:dyDescent="0.25">
      <c r="D205" s="18"/>
      <c r="E205" s="18"/>
      <c r="F205" s="25"/>
      <c r="G205" s="25"/>
      <c r="H205" s="26"/>
    </row>
    <row r="206" spans="4:8" ht="13.2" x14ac:dyDescent="0.25">
      <c r="D206" s="18"/>
      <c r="E206" s="18"/>
      <c r="F206" s="25"/>
      <c r="G206" s="25"/>
      <c r="H206" s="26"/>
    </row>
    <row r="207" spans="4:8" ht="13.2" x14ac:dyDescent="0.25">
      <c r="D207" s="18"/>
      <c r="E207" s="18"/>
      <c r="F207" s="25"/>
      <c r="G207" s="25"/>
      <c r="H207" s="26"/>
    </row>
    <row r="208" spans="4:8" ht="13.2" x14ac:dyDescent="0.25">
      <c r="D208" s="18"/>
      <c r="E208" s="18"/>
      <c r="F208" s="25"/>
      <c r="G208" s="25"/>
      <c r="H208" s="26"/>
    </row>
    <row r="209" spans="4:8" ht="13.2" x14ac:dyDescent="0.25">
      <c r="D209" s="18"/>
      <c r="E209" s="18"/>
      <c r="F209" s="25"/>
      <c r="G209" s="25"/>
      <c r="H209" s="26"/>
    </row>
    <row r="210" spans="4:8" ht="13.2" x14ac:dyDescent="0.25">
      <c r="D210" s="18"/>
      <c r="E210" s="18"/>
      <c r="F210" s="25"/>
      <c r="G210" s="25"/>
      <c r="H210" s="26"/>
    </row>
    <row r="211" spans="4:8" ht="13.2" x14ac:dyDescent="0.25">
      <c r="D211" s="18"/>
      <c r="E211" s="18"/>
      <c r="F211" s="25"/>
      <c r="G211" s="25"/>
      <c r="H211" s="26"/>
    </row>
    <row r="212" spans="4:8" ht="13.2" x14ac:dyDescent="0.25">
      <c r="D212" s="18"/>
      <c r="E212" s="18"/>
      <c r="F212" s="25"/>
      <c r="G212" s="25"/>
      <c r="H212" s="26"/>
    </row>
    <row r="213" spans="4:8" ht="13.2" x14ac:dyDescent="0.25">
      <c r="D213" s="18"/>
      <c r="E213" s="18"/>
      <c r="F213" s="25"/>
      <c r="G213" s="25"/>
      <c r="H213" s="26"/>
    </row>
    <row r="214" spans="4:8" ht="13.2" x14ac:dyDescent="0.25">
      <c r="D214" s="18"/>
      <c r="E214" s="18"/>
      <c r="F214" s="25"/>
      <c r="G214" s="25"/>
      <c r="H214" s="26"/>
    </row>
    <row r="215" spans="4:8" ht="13.2" x14ac:dyDescent="0.25">
      <c r="D215" s="18"/>
      <c r="E215" s="18"/>
      <c r="F215" s="25"/>
      <c r="G215" s="25"/>
      <c r="H215" s="26"/>
    </row>
    <row r="216" spans="4:8" ht="13.2" x14ac:dyDescent="0.25">
      <c r="D216" s="18"/>
      <c r="E216" s="18"/>
      <c r="F216" s="25"/>
      <c r="G216" s="25"/>
      <c r="H216" s="26"/>
    </row>
    <row r="217" spans="4:8" ht="13.2" x14ac:dyDescent="0.25">
      <c r="D217" s="18"/>
      <c r="E217" s="18"/>
      <c r="F217" s="25"/>
      <c r="G217" s="25"/>
      <c r="H217" s="26"/>
    </row>
    <row r="218" spans="4:8" ht="13.2" x14ac:dyDescent="0.25">
      <c r="D218" s="18"/>
      <c r="E218" s="18"/>
      <c r="F218" s="25"/>
      <c r="G218" s="25"/>
      <c r="H218" s="26"/>
    </row>
    <row r="219" spans="4:8" ht="13.2" x14ac:dyDescent="0.25">
      <c r="D219" s="18"/>
      <c r="E219" s="18"/>
      <c r="F219" s="25"/>
      <c r="G219" s="25"/>
      <c r="H219" s="26"/>
    </row>
    <row r="220" spans="4:8" ht="13.2" x14ac:dyDescent="0.25">
      <c r="D220" s="18"/>
      <c r="E220" s="18"/>
      <c r="F220" s="25"/>
      <c r="G220" s="25"/>
      <c r="H220" s="26"/>
    </row>
    <row r="221" spans="4:8" ht="13.2" x14ac:dyDescent="0.25">
      <c r="D221" s="18"/>
      <c r="E221" s="18"/>
      <c r="F221" s="25"/>
      <c r="G221" s="25"/>
      <c r="H221" s="26"/>
    </row>
    <row r="222" spans="4:8" ht="13.2" x14ac:dyDescent="0.25">
      <c r="D222" s="18"/>
      <c r="E222" s="18"/>
      <c r="F222" s="25"/>
      <c r="G222" s="25"/>
      <c r="H222" s="26"/>
    </row>
    <row r="223" spans="4:8" ht="13.2" x14ac:dyDescent="0.25">
      <c r="D223" s="18"/>
      <c r="E223" s="18"/>
      <c r="F223" s="25"/>
      <c r="G223" s="25"/>
      <c r="H223" s="26"/>
    </row>
    <row r="224" spans="4:8" ht="13.2" x14ac:dyDescent="0.25">
      <c r="D224" s="18"/>
      <c r="E224" s="18"/>
      <c r="F224" s="25"/>
      <c r="G224" s="25"/>
      <c r="H224" s="26"/>
    </row>
    <row r="225" spans="4:8" ht="13.2" x14ac:dyDescent="0.25">
      <c r="D225" s="18"/>
      <c r="E225" s="18"/>
      <c r="F225" s="25"/>
      <c r="G225" s="25"/>
      <c r="H225" s="26"/>
    </row>
    <row r="226" spans="4:8" ht="13.2" x14ac:dyDescent="0.25">
      <c r="D226" s="18"/>
      <c r="E226" s="18"/>
      <c r="F226" s="25"/>
      <c r="G226" s="25"/>
      <c r="H226" s="26"/>
    </row>
    <row r="227" spans="4:8" ht="13.2" x14ac:dyDescent="0.25">
      <c r="D227" s="18"/>
      <c r="E227" s="18"/>
      <c r="F227" s="25"/>
      <c r="G227" s="25"/>
      <c r="H227" s="26"/>
    </row>
    <row r="228" spans="4:8" ht="13.2" x14ac:dyDescent="0.25">
      <c r="D228" s="18"/>
      <c r="E228" s="18"/>
      <c r="F228" s="25"/>
      <c r="G228" s="25"/>
      <c r="H228" s="26"/>
    </row>
    <row r="229" spans="4:8" ht="13.2" x14ac:dyDescent="0.25">
      <c r="D229" s="18"/>
      <c r="E229" s="18"/>
      <c r="F229" s="25"/>
      <c r="G229" s="25"/>
      <c r="H229" s="26"/>
    </row>
    <row r="230" spans="4:8" ht="13.2" x14ac:dyDescent="0.25">
      <c r="D230" s="18"/>
      <c r="E230" s="18"/>
      <c r="F230" s="25"/>
      <c r="G230" s="25"/>
      <c r="H230" s="26"/>
    </row>
    <row r="231" spans="4:8" ht="13.2" x14ac:dyDescent="0.25">
      <c r="D231" s="18"/>
      <c r="E231" s="18"/>
      <c r="F231" s="25"/>
      <c r="G231" s="25"/>
      <c r="H231" s="26"/>
    </row>
    <row r="232" spans="4:8" ht="13.2" x14ac:dyDescent="0.25">
      <c r="D232" s="18"/>
      <c r="E232" s="18"/>
      <c r="F232" s="25"/>
      <c r="G232" s="25"/>
      <c r="H232" s="26"/>
    </row>
    <row r="233" spans="4:8" ht="13.2" x14ac:dyDescent="0.25">
      <c r="D233" s="18"/>
      <c r="E233" s="18"/>
      <c r="F233" s="25"/>
      <c r="G233" s="25"/>
      <c r="H233" s="26"/>
    </row>
    <row r="234" spans="4:8" ht="13.2" x14ac:dyDescent="0.25">
      <c r="D234" s="18"/>
      <c r="E234" s="18"/>
      <c r="F234" s="25"/>
      <c r="G234" s="25"/>
      <c r="H234" s="26"/>
    </row>
    <row r="235" spans="4:8" ht="13.2" x14ac:dyDescent="0.25">
      <c r="D235" s="18"/>
      <c r="E235" s="18"/>
      <c r="F235" s="25"/>
      <c r="G235" s="25"/>
      <c r="H235" s="26"/>
    </row>
    <row r="236" spans="4:8" ht="13.2" x14ac:dyDescent="0.25">
      <c r="D236" s="18"/>
      <c r="E236" s="18"/>
      <c r="F236" s="25"/>
      <c r="G236" s="25"/>
      <c r="H236" s="26"/>
    </row>
    <row r="237" spans="4:8" ht="13.2" x14ac:dyDescent="0.25">
      <c r="D237" s="18"/>
      <c r="E237" s="18"/>
      <c r="F237" s="25"/>
      <c r="G237" s="25"/>
      <c r="H237" s="26"/>
    </row>
    <row r="238" spans="4:8" ht="13.2" x14ac:dyDescent="0.25">
      <c r="D238" s="18"/>
      <c r="E238" s="18"/>
      <c r="F238" s="25"/>
      <c r="G238" s="25"/>
      <c r="H238" s="26"/>
    </row>
    <row r="239" spans="4:8" ht="13.2" x14ac:dyDescent="0.25">
      <c r="D239" s="18"/>
      <c r="E239" s="18"/>
      <c r="F239" s="25"/>
      <c r="G239" s="25"/>
      <c r="H239" s="26"/>
    </row>
    <row r="240" spans="4:8" ht="13.2" x14ac:dyDescent="0.25">
      <c r="D240" s="18"/>
      <c r="E240" s="18"/>
      <c r="F240" s="25"/>
      <c r="G240" s="25"/>
      <c r="H240" s="26"/>
    </row>
    <row r="241" spans="4:8" ht="13.2" x14ac:dyDescent="0.25">
      <c r="D241" s="18"/>
      <c r="E241" s="18"/>
      <c r="F241" s="25"/>
      <c r="G241" s="25"/>
      <c r="H241" s="26"/>
    </row>
    <row r="242" spans="4:8" ht="13.2" x14ac:dyDescent="0.25">
      <c r="D242" s="18"/>
      <c r="E242" s="18"/>
      <c r="F242" s="25"/>
      <c r="G242" s="25"/>
      <c r="H242" s="26"/>
    </row>
    <row r="243" spans="4:8" ht="13.2" x14ac:dyDescent="0.25">
      <c r="D243" s="18"/>
      <c r="E243" s="18"/>
      <c r="F243" s="25"/>
      <c r="G243" s="25"/>
      <c r="H243" s="26"/>
    </row>
    <row r="244" spans="4:8" ht="13.2" x14ac:dyDescent="0.25">
      <c r="D244" s="18"/>
      <c r="E244" s="18"/>
      <c r="F244" s="25"/>
      <c r="G244" s="25"/>
      <c r="H244" s="26"/>
    </row>
    <row r="245" spans="4:8" ht="13.2" x14ac:dyDescent="0.25">
      <c r="D245" s="18"/>
      <c r="E245" s="18"/>
      <c r="F245" s="25"/>
      <c r="G245" s="25"/>
      <c r="H245" s="26"/>
    </row>
    <row r="246" spans="4:8" ht="13.2" x14ac:dyDescent="0.25">
      <c r="D246" s="18"/>
      <c r="E246" s="18"/>
      <c r="F246" s="25"/>
      <c r="G246" s="25"/>
      <c r="H246" s="26"/>
    </row>
    <row r="247" spans="4:8" ht="13.2" x14ac:dyDescent="0.25">
      <c r="D247" s="18"/>
      <c r="E247" s="18"/>
      <c r="F247" s="25"/>
      <c r="G247" s="25"/>
      <c r="H247" s="26"/>
    </row>
    <row r="248" spans="4:8" ht="13.2" x14ac:dyDescent="0.25">
      <c r="D248" s="18"/>
      <c r="E248" s="18"/>
      <c r="F248" s="25"/>
      <c r="G248" s="25"/>
      <c r="H248" s="26"/>
    </row>
    <row r="249" spans="4:8" ht="13.2" x14ac:dyDescent="0.25">
      <c r="D249" s="18"/>
      <c r="E249" s="18"/>
      <c r="F249" s="25"/>
      <c r="G249" s="25"/>
      <c r="H249" s="26"/>
    </row>
    <row r="250" spans="4:8" ht="13.2" x14ac:dyDescent="0.25">
      <c r="D250" s="18"/>
      <c r="E250" s="18"/>
      <c r="F250" s="25"/>
      <c r="G250" s="25"/>
      <c r="H250" s="26"/>
    </row>
    <row r="251" spans="4:8" ht="13.2" x14ac:dyDescent="0.25">
      <c r="D251" s="18"/>
      <c r="E251" s="18"/>
      <c r="F251" s="25"/>
      <c r="G251" s="25"/>
      <c r="H251" s="26"/>
    </row>
    <row r="252" spans="4:8" ht="13.2" x14ac:dyDescent="0.25">
      <c r="D252" s="18"/>
      <c r="E252" s="18"/>
      <c r="F252" s="25"/>
      <c r="G252" s="25"/>
      <c r="H252" s="26"/>
    </row>
    <row r="253" spans="4:8" ht="13.2" x14ac:dyDescent="0.25">
      <c r="D253" s="18"/>
      <c r="E253" s="18"/>
      <c r="F253" s="25"/>
      <c r="G253" s="25"/>
      <c r="H253" s="26"/>
    </row>
    <row r="254" spans="4:8" ht="13.2" x14ac:dyDescent="0.25">
      <c r="D254" s="18"/>
      <c r="E254" s="18"/>
      <c r="F254" s="25"/>
      <c r="G254" s="25"/>
      <c r="H254" s="26"/>
    </row>
    <row r="255" spans="4:8" ht="13.2" x14ac:dyDescent="0.25">
      <c r="D255" s="18"/>
      <c r="E255" s="18"/>
      <c r="F255" s="25"/>
      <c r="G255" s="25"/>
      <c r="H255" s="26"/>
    </row>
    <row r="256" spans="4:8" ht="13.2" x14ac:dyDescent="0.25">
      <c r="D256" s="18"/>
      <c r="E256" s="18"/>
      <c r="F256" s="25"/>
      <c r="G256" s="25"/>
      <c r="H256" s="26"/>
    </row>
    <row r="257" spans="4:8" ht="13.2" x14ac:dyDescent="0.25">
      <c r="D257" s="18"/>
      <c r="E257" s="18"/>
      <c r="F257" s="25"/>
      <c r="G257" s="25"/>
      <c r="H257" s="26"/>
    </row>
    <row r="258" spans="4:8" ht="13.2" x14ac:dyDescent="0.25">
      <c r="D258" s="18"/>
      <c r="E258" s="18"/>
      <c r="F258" s="25"/>
      <c r="G258" s="25"/>
      <c r="H258" s="26"/>
    </row>
    <row r="259" spans="4:8" ht="13.2" x14ac:dyDescent="0.25">
      <c r="D259" s="18"/>
      <c r="E259" s="18"/>
      <c r="F259" s="25"/>
      <c r="G259" s="25"/>
      <c r="H259" s="26"/>
    </row>
    <row r="260" spans="4:8" ht="13.2" x14ac:dyDescent="0.25">
      <c r="D260" s="18"/>
      <c r="E260" s="18"/>
      <c r="F260" s="25"/>
      <c r="G260" s="25"/>
      <c r="H260" s="26"/>
    </row>
    <row r="261" spans="4:8" ht="13.2" x14ac:dyDescent="0.25">
      <c r="D261" s="18"/>
      <c r="E261" s="18"/>
      <c r="F261" s="25"/>
      <c r="G261" s="25"/>
      <c r="H261" s="26"/>
    </row>
    <row r="262" spans="4:8" ht="13.2" x14ac:dyDescent="0.25">
      <c r="D262" s="18"/>
      <c r="E262" s="18"/>
      <c r="F262" s="25"/>
      <c r="G262" s="25"/>
      <c r="H262" s="26"/>
    </row>
    <row r="263" spans="4:8" ht="13.2" x14ac:dyDescent="0.25">
      <c r="D263" s="18"/>
      <c r="E263" s="18"/>
      <c r="F263" s="25"/>
      <c r="G263" s="25"/>
      <c r="H263" s="26"/>
    </row>
    <row r="264" spans="4:8" ht="13.2" x14ac:dyDescent="0.25">
      <c r="D264" s="18"/>
      <c r="E264" s="18"/>
      <c r="F264" s="25"/>
      <c r="G264" s="25"/>
      <c r="H264" s="26"/>
    </row>
    <row r="265" spans="4:8" ht="13.2" x14ac:dyDescent="0.25">
      <c r="D265" s="18"/>
      <c r="E265" s="18"/>
      <c r="F265" s="25"/>
      <c r="G265" s="25"/>
      <c r="H265" s="26"/>
    </row>
    <row r="266" spans="4:8" ht="13.2" x14ac:dyDescent="0.25">
      <c r="D266" s="18"/>
      <c r="E266" s="18"/>
      <c r="F266" s="25"/>
      <c r="G266" s="25"/>
      <c r="H266" s="26"/>
    </row>
    <row r="267" spans="4:8" ht="13.2" x14ac:dyDescent="0.25">
      <c r="D267" s="18"/>
      <c r="E267" s="18"/>
      <c r="F267" s="25"/>
      <c r="G267" s="25"/>
      <c r="H267" s="26"/>
    </row>
    <row r="268" spans="4:8" ht="13.2" x14ac:dyDescent="0.25">
      <c r="D268" s="18"/>
      <c r="E268" s="18"/>
      <c r="F268" s="25"/>
      <c r="G268" s="25"/>
      <c r="H268" s="26"/>
    </row>
    <row r="269" spans="4:8" ht="13.2" x14ac:dyDescent="0.25">
      <c r="D269" s="18"/>
      <c r="E269" s="18"/>
      <c r="F269" s="25"/>
      <c r="G269" s="25"/>
      <c r="H269" s="26"/>
    </row>
    <row r="270" spans="4:8" ht="13.2" x14ac:dyDescent="0.25">
      <c r="D270" s="18"/>
      <c r="E270" s="18"/>
      <c r="F270" s="25"/>
      <c r="G270" s="25"/>
      <c r="H270" s="26"/>
    </row>
    <row r="271" spans="4:8" ht="13.2" x14ac:dyDescent="0.25">
      <c r="D271" s="18"/>
      <c r="E271" s="18"/>
      <c r="F271" s="25"/>
      <c r="G271" s="25"/>
      <c r="H271" s="26"/>
    </row>
    <row r="272" spans="4:8" ht="13.2" x14ac:dyDescent="0.25">
      <c r="D272" s="18"/>
      <c r="E272" s="18"/>
      <c r="F272" s="25"/>
      <c r="G272" s="25"/>
      <c r="H272" s="26"/>
    </row>
    <row r="273" spans="4:8" ht="13.2" x14ac:dyDescent="0.25">
      <c r="D273" s="18"/>
      <c r="E273" s="18"/>
      <c r="F273" s="25"/>
      <c r="G273" s="25"/>
      <c r="H273" s="26"/>
    </row>
    <row r="274" spans="4:8" ht="13.2" x14ac:dyDescent="0.25">
      <c r="D274" s="18"/>
      <c r="E274" s="18"/>
      <c r="F274" s="25"/>
      <c r="G274" s="25"/>
      <c r="H274" s="26"/>
    </row>
    <row r="275" spans="4:8" ht="13.2" x14ac:dyDescent="0.25">
      <c r="D275" s="18"/>
      <c r="E275" s="18"/>
      <c r="F275" s="25"/>
      <c r="G275" s="25"/>
      <c r="H275" s="26"/>
    </row>
    <row r="276" spans="4:8" ht="13.2" x14ac:dyDescent="0.25">
      <c r="D276" s="18"/>
      <c r="E276" s="18"/>
      <c r="F276" s="25"/>
      <c r="G276" s="25"/>
      <c r="H276" s="26"/>
    </row>
    <row r="277" spans="4:8" ht="13.2" x14ac:dyDescent="0.25">
      <c r="D277" s="18"/>
      <c r="E277" s="18"/>
      <c r="F277" s="25"/>
      <c r="G277" s="25"/>
      <c r="H277" s="26"/>
    </row>
    <row r="278" spans="4:8" ht="13.2" x14ac:dyDescent="0.25">
      <c r="D278" s="18"/>
      <c r="E278" s="18"/>
      <c r="F278" s="25"/>
      <c r="G278" s="25"/>
      <c r="H278" s="26"/>
    </row>
    <row r="279" spans="4:8" ht="13.2" x14ac:dyDescent="0.25">
      <c r="D279" s="18"/>
      <c r="E279" s="18"/>
      <c r="F279" s="25"/>
      <c r="G279" s="25"/>
      <c r="H279" s="26"/>
    </row>
    <row r="280" spans="4:8" ht="13.2" x14ac:dyDescent="0.25">
      <c r="D280" s="18"/>
      <c r="E280" s="18"/>
      <c r="F280" s="25"/>
      <c r="G280" s="25"/>
      <c r="H280" s="26"/>
    </row>
    <row r="281" spans="4:8" ht="13.2" x14ac:dyDescent="0.25">
      <c r="D281" s="18"/>
      <c r="E281" s="18"/>
      <c r="F281" s="25"/>
      <c r="G281" s="25"/>
      <c r="H281" s="26"/>
    </row>
    <row r="282" spans="4:8" ht="13.2" x14ac:dyDescent="0.25">
      <c r="D282" s="18"/>
      <c r="E282" s="18"/>
      <c r="F282" s="25"/>
      <c r="G282" s="25"/>
      <c r="H282" s="26"/>
    </row>
    <row r="283" spans="4:8" ht="13.2" x14ac:dyDescent="0.25">
      <c r="D283" s="18"/>
      <c r="E283" s="18"/>
      <c r="F283" s="25"/>
      <c r="G283" s="25"/>
      <c r="H283" s="26"/>
    </row>
    <row r="284" spans="4:8" ht="13.2" x14ac:dyDescent="0.25">
      <c r="D284" s="18"/>
      <c r="E284" s="18"/>
      <c r="F284" s="25"/>
      <c r="G284" s="25"/>
      <c r="H284" s="26"/>
    </row>
    <row r="285" spans="4:8" ht="13.2" x14ac:dyDescent="0.25">
      <c r="D285" s="18"/>
      <c r="E285" s="18"/>
      <c r="F285" s="25"/>
      <c r="G285" s="25"/>
      <c r="H285" s="26"/>
    </row>
    <row r="286" spans="4:8" ht="13.2" x14ac:dyDescent="0.25">
      <c r="D286" s="18"/>
      <c r="E286" s="18"/>
      <c r="F286" s="25"/>
      <c r="G286" s="25"/>
      <c r="H286" s="26"/>
    </row>
    <row r="287" spans="4:8" ht="13.2" x14ac:dyDescent="0.25">
      <c r="D287" s="18"/>
      <c r="E287" s="18"/>
      <c r="F287" s="25"/>
      <c r="G287" s="25"/>
      <c r="H287" s="26"/>
    </row>
    <row r="288" spans="4:8" ht="13.2" x14ac:dyDescent="0.25">
      <c r="D288" s="18"/>
      <c r="E288" s="18"/>
      <c r="F288" s="25"/>
      <c r="G288" s="25"/>
      <c r="H288" s="26"/>
    </row>
    <row r="289" spans="4:8" ht="13.2" x14ac:dyDescent="0.25">
      <c r="D289" s="18"/>
      <c r="E289" s="18"/>
      <c r="F289" s="25"/>
      <c r="G289" s="25"/>
      <c r="H289" s="26"/>
    </row>
    <row r="290" spans="4:8" ht="13.2" x14ac:dyDescent="0.25">
      <c r="D290" s="18"/>
      <c r="E290" s="18"/>
      <c r="F290" s="25"/>
      <c r="G290" s="25"/>
      <c r="H290" s="26"/>
    </row>
    <row r="291" spans="4:8" ht="13.2" x14ac:dyDescent="0.25">
      <c r="D291" s="18"/>
      <c r="E291" s="18"/>
      <c r="F291" s="25"/>
      <c r="G291" s="25"/>
      <c r="H291" s="26"/>
    </row>
    <row r="292" spans="4:8" ht="13.2" x14ac:dyDescent="0.25">
      <c r="D292" s="18"/>
      <c r="E292" s="18"/>
      <c r="F292" s="25"/>
      <c r="G292" s="25"/>
      <c r="H292" s="26"/>
    </row>
    <row r="293" spans="4:8" ht="13.2" x14ac:dyDescent="0.25">
      <c r="D293" s="18"/>
      <c r="E293" s="18"/>
      <c r="F293" s="25"/>
      <c r="G293" s="25"/>
      <c r="H293" s="26"/>
    </row>
    <row r="294" spans="4:8" ht="13.2" x14ac:dyDescent="0.25">
      <c r="D294" s="18"/>
      <c r="E294" s="18"/>
      <c r="F294" s="25"/>
      <c r="G294" s="25"/>
      <c r="H294" s="26"/>
    </row>
    <row r="295" spans="4:8" ht="13.2" x14ac:dyDescent="0.25">
      <c r="D295" s="18"/>
      <c r="E295" s="18"/>
      <c r="F295" s="25"/>
      <c r="G295" s="25"/>
      <c r="H295" s="26"/>
    </row>
    <row r="296" spans="4:8" ht="13.2" x14ac:dyDescent="0.25">
      <c r="D296" s="18"/>
      <c r="E296" s="18"/>
      <c r="F296" s="25"/>
      <c r="G296" s="25"/>
      <c r="H296" s="26"/>
    </row>
    <row r="297" spans="4:8" ht="13.2" x14ac:dyDescent="0.25">
      <c r="D297" s="18"/>
      <c r="E297" s="18"/>
      <c r="F297" s="25"/>
      <c r="G297" s="25"/>
      <c r="H297" s="26"/>
    </row>
    <row r="298" spans="4:8" ht="13.2" x14ac:dyDescent="0.25">
      <c r="D298" s="18"/>
      <c r="E298" s="18"/>
      <c r="F298" s="25"/>
      <c r="G298" s="25"/>
      <c r="H298" s="26"/>
    </row>
    <row r="299" spans="4:8" ht="13.2" x14ac:dyDescent="0.25">
      <c r="D299" s="18"/>
      <c r="E299" s="18"/>
      <c r="F299" s="25"/>
      <c r="G299" s="25"/>
      <c r="H299" s="26"/>
    </row>
    <row r="300" spans="4:8" ht="13.2" x14ac:dyDescent="0.25">
      <c r="D300" s="18"/>
      <c r="E300" s="18"/>
      <c r="F300" s="25"/>
      <c r="G300" s="25"/>
      <c r="H300" s="26"/>
    </row>
    <row r="301" spans="4:8" ht="13.2" x14ac:dyDescent="0.25">
      <c r="D301" s="18"/>
      <c r="E301" s="18"/>
      <c r="F301" s="25"/>
      <c r="G301" s="25"/>
      <c r="H301" s="26"/>
    </row>
    <row r="302" spans="4:8" ht="13.2" x14ac:dyDescent="0.25">
      <c r="D302" s="18"/>
      <c r="E302" s="18"/>
      <c r="F302" s="25"/>
      <c r="G302" s="25"/>
      <c r="H302" s="26"/>
    </row>
    <row r="303" spans="4:8" ht="13.2" x14ac:dyDescent="0.25">
      <c r="D303" s="18"/>
      <c r="E303" s="18"/>
      <c r="F303" s="25"/>
      <c r="G303" s="25"/>
      <c r="H303" s="26"/>
    </row>
    <row r="304" spans="4:8" ht="13.2" x14ac:dyDescent="0.25">
      <c r="D304" s="18"/>
      <c r="E304" s="18"/>
      <c r="F304" s="25"/>
      <c r="G304" s="25"/>
      <c r="H304" s="26"/>
    </row>
    <row r="305" spans="4:8" ht="13.2" x14ac:dyDescent="0.25">
      <c r="D305" s="18"/>
      <c r="E305" s="18"/>
      <c r="F305" s="25"/>
      <c r="G305" s="25"/>
      <c r="H305" s="26"/>
    </row>
    <row r="306" spans="4:8" ht="13.2" x14ac:dyDescent="0.25">
      <c r="D306" s="18"/>
      <c r="E306" s="18"/>
      <c r="F306" s="25"/>
      <c r="G306" s="25"/>
      <c r="H306" s="26"/>
    </row>
    <row r="307" spans="4:8" ht="13.2" x14ac:dyDescent="0.25">
      <c r="D307" s="18"/>
      <c r="E307" s="18"/>
      <c r="F307" s="25"/>
      <c r="G307" s="25"/>
      <c r="H307" s="26"/>
    </row>
    <row r="308" spans="4:8" ht="13.2" x14ac:dyDescent="0.25">
      <c r="D308" s="18"/>
      <c r="E308" s="18"/>
      <c r="F308" s="25"/>
      <c r="G308" s="25"/>
      <c r="H308" s="26"/>
    </row>
    <row r="309" spans="4:8" ht="13.2" x14ac:dyDescent="0.25">
      <c r="D309" s="18"/>
      <c r="E309" s="18"/>
      <c r="F309" s="25"/>
      <c r="G309" s="25"/>
      <c r="H309" s="26"/>
    </row>
    <row r="310" spans="4:8" ht="13.2" x14ac:dyDescent="0.25">
      <c r="D310" s="18"/>
      <c r="E310" s="18"/>
      <c r="F310" s="25"/>
      <c r="G310" s="25"/>
      <c r="H310" s="26"/>
    </row>
    <row r="311" spans="4:8" ht="13.2" x14ac:dyDescent="0.25">
      <c r="D311" s="18"/>
      <c r="E311" s="18"/>
      <c r="F311" s="25"/>
      <c r="G311" s="25"/>
      <c r="H311" s="26"/>
    </row>
    <row r="312" spans="4:8" ht="13.2" x14ac:dyDescent="0.25">
      <c r="D312" s="18"/>
      <c r="E312" s="18"/>
      <c r="F312" s="25"/>
      <c r="G312" s="25"/>
      <c r="H312" s="26"/>
    </row>
    <row r="313" spans="4:8" ht="13.2" x14ac:dyDescent="0.25">
      <c r="D313" s="18"/>
      <c r="E313" s="18"/>
      <c r="F313" s="25"/>
      <c r="G313" s="25"/>
      <c r="H313" s="26"/>
    </row>
    <row r="314" spans="4:8" ht="13.2" x14ac:dyDescent="0.25">
      <c r="D314" s="18"/>
      <c r="E314" s="18"/>
      <c r="F314" s="25"/>
      <c r="G314" s="25"/>
      <c r="H314" s="26"/>
    </row>
    <row r="315" spans="4:8" ht="13.2" x14ac:dyDescent="0.25">
      <c r="D315" s="18"/>
      <c r="E315" s="18"/>
      <c r="F315" s="25"/>
      <c r="G315" s="25"/>
      <c r="H315" s="26"/>
    </row>
    <row r="316" spans="4:8" ht="13.2" x14ac:dyDescent="0.25">
      <c r="D316" s="18"/>
      <c r="E316" s="18"/>
      <c r="F316" s="25"/>
      <c r="G316" s="25"/>
      <c r="H316" s="26"/>
    </row>
    <row r="317" spans="4:8" ht="13.2" x14ac:dyDescent="0.25">
      <c r="D317" s="18"/>
      <c r="E317" s="18"/>
      <c r="F317" s="25"/>
      <c r="G317" s="25"/>
      <c r="H317" s="26"/>
    </row>
    <row r="318" spans="4:8" ht="13.2" x14ac:dyDescent="0.25">
      <c r="D318" s="18"/>
      <c r="E318" s="18"/>
      <c r="F318" s="25"/>
      <c r="G318" s="25"/>
      <c r="H318" s="26"/>
    </row>
    <row r="319" spans="4:8" ht="13.2" x14ac:dyDescent="0.25">
      <c r="D319" s="18"/>
      <c r="E319" s="18"/>
      <c r="F319" s="25"/>
      <c r="G319" s="25"/>
      <c r="H319" s="26"/>
    </row>
    <row r="320" spans="4:8" ht="13.2" x14ac:dyDescent="0.25">
      <c r="D320" s="18"/>
      <c r="E320" s="18"/>
      <c r="F320" s="25"/>
      <c r="G320" s="25"/>
      <c r="H320" s="26"/>
    </row>
    <row r="321" spans="4:8" ht="13.2" x14ac:dyDescent="0.25">
      <c r="D321" s="18"/>
      <c r="E321" s="18"/>
      <c r="F321" s="25"/>
      <c r="G321" s="25"/>
      <c r="H321" s="26"/>
    </row>
    <row r="322" spans="4:8" ht="13.2" x14ac:dyDescent="0.25">
      <c r="D322" s="18"/>
      <c r="E322" s="18"/>
      <c r="F322" s="25"/>
      <c r="G322" s="25"/>
      <c r="H322" s="26"/>
    </row>
    <row r="323" spans="4:8" ht="13.2" x14ac:dyDescent="0.25">
      <c r="D323" s="18"/>
      <c r="E323" s="18"/>
      <c r="F323" s="25"/>
      <c r="G323" s="25"/>
      <c r="H323" s="26"/>
    </row>
    <row r="324" spans="4:8" ht="13.2" x14ac:dyDescent="0.25">
      <c r="D324" s="18"/>
      <c r="E324" s="18"/>
      <c r="F324" s="25"/>
      <c r="G324" s="25"/>
      <c r="H324" s="26"/>
    </row>
    <row r="325" spans="4:8" ht="13.2" x14ac:dyDescent="0.25">
      <c r="D325" s="18"/>
      <c r="E325" s="18"/>
      <c r="F325" s="25"/>
      <c r="G325" s="25"/>
      <c r="H325" s="26"/>
    </row>
    <row r="326" spans="4:8" ht="13.2" x14ac:dyDescent="0.25">
      <c r="D326" s="18"/>
      <c r="E326" s="18"/>
      <c r="F326" s="25"/>
      <c r="G326" s="25"/>
      <c r="H326" s="26"/>
    </row>
    <row r="327" spans="4:8" ht="13.2" x14ac:dyDescent="0.25">
      <c r="D327" s="18"/>
      <c r="E327" s="18"/>
      <c r="F327" s="25"/>
      <c r="G327" s="25"/>
      <c r="H327" s="26"/>
    </row>
    <row r="328" spans="4:8" ht="13.2" x14ac:dyDescent="0.25">
      <c r="D328" s="18"/>
      <c r="E328" s="18"/>
      <c r="F328" s="25"/>
      <c r="G328" s="25"/>
      <c r="H328" s="26"/>
    </row>
    <row r="329" spans="4:8" ht="13.2" x14ac:dyDescent="0.25">
      <c r="D329" s="18"/>
      <c r="E329" s="18"/>
      <c r="F329" s="25"/>
      <c r="G329" s="25"/>
      <c r="H329" s="26"/>
    </row>
    <row r="330" spans="4:8" ht="13.2" x14ac:dyDescent="0.25">
      <c r="D330" s="18"/>
      <c r="E330" s="18"/>
      <c r="F330" s="25"/>
      <c r="G330" s="25"/>
      <c r="H330" s="26"/>
    </row>
    <row r="331" spans="4:8" ht="13.2" x14ac:dyDescent="0.25">
      <c r="D331" s="18"/>
      <c r="E331" s="18"/>
      <c r="F331" s="25"/>
      <c r="G331" s="25"/>
      <c r="H331" s="26"/>
    </row>
    <row r="332" spans="4:8" ht="13.2" x14ac:dyDescent="0.25">
      <c r="D332" s="18"/>
      <c r="E332" s="18"/>
      <c r="F332" s="25"/>
      <c r="G332" s="25"/>
      <c r="H332" s="26"/>
    </row>
    <row r="333" spans="4:8" ht="13.2" x14ac:dyDescent="0.25">
      <c r="D333" s="18"/>
      <c r="E333" s="18"/>
      <c r="F333" s="25"/>
      <c r="G333" s="25"/>
      <c r="H333" s="26"/>
    </row>
    <row r="334" spans="4:8" ht="13.2" x14ac:dyDescent="0.25">
      <c r="D334" s="18"/>
      <c r="E334" s="18"/>
      <c r="F334" s="25"/>
      <c r="G334" s="25"/>
      <c r="H334" s="26"/>
    </row>
    <row r="335" spans="4:8" ht="13.2" x14ac:dyDescent="0.25">
      <c r="D335" s="18"/>
      <c r="E335" s="18"/>
      <c r="F335" s="25"/>
      <c r="G335" s="25"/>
      <c r="H335" s="26"/>
    </row>
    <row r="336" spans="4:8" ht="13.2" x14ac:dyDescent="0.25">
      <c r="D336" s="18"/>
      <c r="E336" s="18"/>
      <c r="F336" s="25"/>
      <c r="G336" s="25"/>
      <c r="H336" s="26"/>
    </row>
    <row r="337" spans="4:8" ht="13.2" x14ac:dyDescent="0.25">
      <c r="D337" s="18"/>
      <c r="E337" s="18"/>
      <c r="F337" s="25"/>
      <c r="G337" s="25"/>
      <c r="H337" s="26"/>
    </row>
    <row r="338" spans="4:8" ht="13.2" x14ac:dyDescent="0.25">
      <c r="D338" s="18"/>
      <c r="E338" s="18"/>
      <c r="F338" s="25"/>
      <c r="G338" s="25"/>
      <c r="H338" s="26"/>
    </row>
    <row r="339" spans="4:8" ht="13.2" x14ac:dyDescent="0.25">
      <c r="D339" s="18"/>
      <c r="E339" s="18"/>
      <c r="F339" s="25"/>
      <c r="G339" s="25"/>
      <c r="H339" s="26"/>
    </row>
    <row r="340" spans="4:8" ht="13.2" x14ac:dyDescent="0.25">
      <c r="D340" s="18"/>
      <c r="E340" s="18"/>
      <c r="F340" s="25"/>
      <c r="G340" s="25"/>
      <c r="H340" s="26"/>
    </row>
    <row r="341" spans="4:8" ht="13.2" x14ac:dyDescent="0.25">
      <c r="D341" s="18"/>
      <c r="E341" s="18"/>
      <c r="F341" s="25"/>
      <c r="G341" s="25"/>
      <c r="H341" s="26"/>
    </row>
    <row r="342" spans="4:8" ht="13.2" x14ac:dyDescent="0.25">
      <c r="D342" s="18"/>
      <c r="E342" s="18"/>
      <c r="F342" s="25"/>
      <c r="G342" s="25"/>
      <c r="H342" s="26"/>
    </row>
    <row r="343" spans="4:8" ht="13.2" x14ac:dyDescent="0.25">
      <c r="D343" s="18"/>
      <c r="E343" s="18"/>
      <c r="F343" s="25"/>
      <c r="G343" s="25"/>
      <c r="H343" s="26"/>
    </row>
    <row r="344" spans="4:8" ht="13.2" x14ac:dyDescent="0.25">
      <c r="D344" s="18"/>
      <c r="E344" s="18"/>
      <c r="F344" s="25"/>
      <c r="G344" s="25"/>
      <c r="H344" s="26"/>
    </row>
    <row r="345" spans="4:8" ht="13.2" x14ac:dyDescent="0.25">
      <c r="D345" s="18"/>
      <c r="E345" s="18"/>
      <c r="F345" s="25"/>
      <c r="G345" s="25"/>
      <c r="H345" s="26"/>
    </row>
    <row r="346" spans="4:8" ht="13.2" x14ac:dyDescent="0.25">
      <c r="D346" s="18"/>
      <c r="E346" s="18"/>
      <c r="F346" s="25"/>
      <c r="G346" s="25"/>
      <c r="H346" s="26"/>
    </row>
    <row r="347" spans="4:8" ht="13.2" x14ac:dyDescent="0.25">
      <c r="D347" s="18"/>
      <c r="E347" s="18"/>
      <c r="F347" s="25"/>
      <c r="G347" s="25"/>
      <c r="H347" s="26"/>
    </row>
    <row r="348" spans="4:8" ht="13.2" x14ac:dyDescent="0.25">
      <c r="D348" s="18"/>
      <c r="E348" s="18"/>
      <c r="F348" s="25"/>
      <c r="G348" s="25"/>
      <c r="H348" s="26"/>
    </row>
    <row r="349" spans="4:8" ht="13.2" x14ac:dyDescent="0.25">
      <c r="D349" s="18"/>
      <c r="E349" s="18"/>
      <c r="F349" s="25"/>
      <c r="G349" s="25"/>
      <c r="H349" s="26"/>
    </row>
    <row r="350" spans="4:8" ht="13.2" x14ac:dyDescent="0.25">
      <c r="D350" s="18"/>
      <c r="E350" s="18"/>
      <c r="F350" s="25"/>
      <c r="G350" s="25"/>
      <c r="H350" s="26"/>
    </row>
    <row r="351" spans="4:8" ht="13.2" x14ac:dyDescent="0.25">
      <c r="D351" s="18"/>
      <c r="E351" s="18"/>
      <c r="F351" s="25"/>
      <c r="G351" s="25"/>
      <c r="H351" s="26"/>
    </row>
    <row r="352" spans="4:8" ht="13.2" x14ac:dyDescent="0.25">
      <c r="D352" s="18"/>
      <c r="E352" s="18"/>
      <c r="F352" s="25"/>
      <c r="G352" s="25"/>
      <c r="H352" s="26"/>
    </row>
    <row r="353" spans="4:8" ht="13.2" x14ac:dyDescent="0.25">
      <c r="D353" s="18"/>
      <c r="E353" s="18"/>
      <c r="F353" s="25"/>
      <c r="G353" s="25"/>
      <c r="H353" s="26"/>
    </row>
    <row r="354" spans="4:8" ht="13.2" x14ac:dyDescent="0.25">
      <c r="D354" s="18"/>
      <c r="E354" s="18"/>
      <c r="F354" s="25"/>
      <c r="G354" s="25"/>
      <c r="H354" s="26"/>
    </row>
    <row r="355" spans="4:8" ht="13.2" x14ac:dyDescent="0.25">
      <c r="D355" s="18"/>
      <c r="E355" s="18"/>
      <c r="F355" s="25"/>
      <c r="G355" s="25"/>
      <c r="H355" s="26"/>
    </row>
    <row r="356" spans="4:8" ht="13.2" x14ac:dyDescent="0.25">
      <c r="D356" s="18"/>
      <c r="E356" s="18"/>
      <c r="F356" s="25"/>
      <c r="G356" s="25"/>
      <c r="H356" s="26"/>
    </row>
    <row r="357" spans="4:8" ht="13.2" x14ac:dyDescent="0.25">
      <c r="D357" s="18"/>
      <c r="E357" s="18"/>
      <c r="F357" s="25"/>
      <c r="G357" s="25"/>
      <c r="H357" s="26"/>
    </row>
    <row r="358" spans="4:8" ht="13.2" x14ac:dyDescent="0.25">
      <c r="D358" s="18"/>
      <c r="E358" s="18"/>
      <c r="F358" s="25"/>
      <c r="G358" s="25"/>
      <c r="H358" s="26"/>
    </row>
    <row r="359" spans="4:8" ht="13.2" x14ac:dyDescent="0.25">
      <c r="D359" s="18"/>
      <c r="E359" s="18"/>
      <c r="F359" s="25"/>
      <c r="G359" s="25"/>
      <c r="H359" s="26"/>
    </row>
    <row r="360" spans="4:8" ht="13.2" x14ac:dyDescent="0.25">
      <c r="D360" s="18"/>
      <c r="E360" s="18"/>
      <c r="F360" s="25"/>
      <c r="G360" s="25"/>
      <c r="H360" s="26"/>
    </row>
    <row r="361" spans="4:8" ht="13.2" x14ac:dyDescent="0.25">
      <c r="D361" s="18"/>
      <c r="E361" s="18"/>
      <c r="F361" s="25"/>
      <c r="G361" s="25"/>
      <c r="H361" s="26"/>
    </row>
    <row r="362" spans="4:8" ht="13.2" x14ac:dyDescent="0.25">
      <c r="D362" s="18"/>
      <c r="E362" s="18"/>
      <c r="F362" s="25"/>
      <c r="G362" s="25"/>
      <c r="H362" s="26"/>
    </row>
    <row r="363" spans="4:8" ht="13.2" x14ac:dyDescent="0.25">
      <c r="D363" s="18"/>
      <c r="E363" s="18"/>
      <c r="F363" s="25"/>
      <c r="G363" s="25"/>
      <c r="H363" s="26"/>
    </row>
    <row r="364" spans="4:8" ht="13.2" x14ac:dyDescent="0.25">
      <c r="D364" s="18"/>
      <c r="E364" s="18"/>
      <c r="F364" s="25"/>
      <c r="G364" s="25"/>
      <c r="H364" s="26"/>
    </row>
    <row r="365" spans="4:8" ht="13.2" x14ac:dyDescent="0.25">
      <c r="D365" s="18"/>
      <c r="E365" s="18"/>
      <c r="F365" s="25"/>
      <c r="G365" s="25"/>
      <c r="H365" s="26"/>
    </row>
    <row r="366" spans="4:8" ht="13.2" x14ac:dyDescent="0.25">
      <c r="D366" s="18"/>
      <c r="E366" s="18"/>
      <c r="F366" s="25"/>
      <c r="G366" s="25"/>
      <c r="H366" s="26"/>
    </row>
    <row r="367" spans="4:8" ht="13.2" x14ac:dyDescent="0.25">
      <c r="D367" s="18"/>
      <c r="E367" s="18"/>
      <c r="F367" s="25"/>
      <c r="G367" s="25"/>
      <c r="H367" s="26"/>
    </row>
    <row r="368" spans="4:8" ht="13.2" x14ac:dyDescent="0.25">
      <c r="D368" s="18"/>
      <c r="E368" s="18"/>
      <c r="F368" s="25"/>
      <c r="G368" s="25"/>
      <c r="H368" s="26"/>
    </row>
    <row r="369" spans="4:8" ht="13.2" x14ac:dyDescent="0.25">
      <c r="D369" s="18"/>
      <c r="E369" s="18"/>
      <c r="F369" s="25"/>
      <c r="G369" s="25"/>
      <c r="H369" s="26"/>
    </row>
    <row r="370" spans="4:8" ht="13.2" x14ac:dyDescent="0.25">
      <c r="D370" s="18"/>
      <c r="E370" s="18"/>
      <c r="F370" s="25"/>
      <c r="G370" s="25"/>
      <c r="H370" s="26"/>
    </row>
    <row r="371" spans="4:8" ht="13.2" x14ac:dyDescent="0.25">
      <c r="D371" s="18"/>
      <c r="E371" s="18"/>
      <c r="F371" s="25"/>
      <c r="G371" s="25"/>
      <c r="H371" s="26"/>
    </row>
    <row r="372" spans="4:8" ht="13.2" x14ac:dyDescent="0.25">
      <c r="D372" s="18"/>
      <c r="E372" s="18"/>
      <c r="F372" s="25"/>
      <c r="G372" s="25"/>
      <c r="H372" s="26"/>
    </row>
    <row r="373" spans="4:8" ht="13.2" x14ac:dyDescent="0.25">
      <c r="D373" s="18"/>
      <c r="E373" s="18"/>
      <c r="F373" s="25"/>
      <c r="G373" s="25"/>
      <c r="H373" s="26"/>
    </row>
    <row r="374" spans="4:8" ht="13.2" x14ac:dyDescent="0.25">
      <c r="D374" s="18"/>
      <c r="E374" s="18"/>
      <c r="F374" s="25"/>
      <c r="G374" s="25"/>
      <c r="H374" s="26"/>
    </row>
    <row r="375" spans="4:8" ht="13.2" x14ac:dyDescent="0.25">
      <c r="D375" s="18"/>
      <c r="E375" s="18"/>
      <c r="F375" s="25"/>
      <c r="G375" s="25"/>
      <c r="H375" s="26"/>
    </row>
    <row r="376" spans="4:8" ht="13.2" x14ac:dyDescent="0.25">
      <c r="D376" s="18"/>
      <c r="E376" s="18"/>
      <c r="F376" s="25"/>
      <c r="G376" s="25"/>
      <c r="H376" s="26"/>
    </row>
    <row r="377" spans="4:8" ht="13.2" x14ac:dyDescent="0.25">
      <c r="D377" s="18"/>
      <c r="E377" s="18"/>
      <c r="F377" s="25"/>
      <c r="G377" s="25"/>
      <c r="H377" s="26"/>
    </row>
    <row r="378" spans="4:8" ht="13.2" x14ac:dyDescent="0.25">
      <c r="D378" s="18"/>
      <c r="E378" s="18"/>
      <c r="F378" s="25"/>
      <c r="G378" s="25"/>
      <c r="H378" s="26"/>
    </row>
    <row r="379" spans="4:8" ht="13.2" x14ac:dyDescent="0.25">
      <c r="D379" s="18"/>
      <c r="E379" s="18"/>
      <c r="F379" s="25"/>
      <c r="G379" s="25"/>
      <c r="H379" s="26"/>
    </row>
    <row r="380" spans="4:8" ht="13.2" x14ac:dyDescent="0.25">
      <c r="D380" s="18"/>
      <c r="E380" s="18"/>
      <c r="F380" s="25"/>
      <c r="G380" s="25"/>
      <c r="H380" s="26"/>
    </row>
    <row r="381" spans="4:8" ht="13.2" x14ac:dyDescent="0.25">
      <c r="D381" s="18"/>
      <c r="E381" s="18"/>
      <c r="F381" s="25"/>
      <c r="G381" s="25"/>
      <c r="H381" s="26"/>
    </row>
    <row r="382" spans="4:8" ht="13.2" x14ac:dyDescent="0.25">
      <c r="D382" s="18"/>
      <c r="E382" s="18"/>
      <c r="F382" s="25"/>
      <c r="G382" s="25"/>
      <c r="H382" s="26"/>
    </row>
    <row r="383" spans="4:8" ht="13.2" x14ac:dyDescent="0.25">
      <c r="D383" s="18"/>
      <c r="E383" s="18"/>
      <c r="F383" s="25"/>
      <c r="G383" s="25"/>
      <c r="H383" s="26"/>
    </row>
    <row r="384" spans="4:8" ht="13.2" x14ac:dyDescent="0.25">
      <c r="D384" s="18"/>
      <c r="E384" s="18"/>
      <c r="F384" s="25"/>
      <c r="G384" s="25"/>
      <c r="H384" s="26"/>
    </row>
    <row r="385" spans="4:8" ht="13.2" x14ac:dyDescent="0.25">
      <c r="D385" s="18"/>
      <c r="E385" s="18"/>
      <c r="F385" s="25"/>
      <c r="G385" s="25"/>
      <c r="H385" s="26"/>
    </row>
    <row r="386" spans="4:8" ht="13.2" x14ac:dyDescent="0.25">
      <c r="D386" s="18"/>
      <c r="E386" s="18"/>
      <c r="F386" s="25"/>
      <c r="G386" s="25"/>
      <c r="H386" s="26"/>
    </row>
    <row r="387" spans="4:8" ht="13.2" x14ac:dyDescent="0.25">
      <c r="D387" s="18"/>
      <c r="E387" s="18"/>
      <c r="F387" s="25"/>
      <c r="G387" s="25"/>
      <c r="H387" s="26"/>
    </row>
    <row r="388" spans="4:8" ht="13.2" x14ac:dyDescent="0.25">
      <c r="D388" s="18"/>
      <c r="E388" s="18"/>
      <c r="F388" s="25"/>
      <c r="G388" s="25"/>
      <c r="H388" s="26"/>
    </row>
    <row r="389" spans="4:8" ht="13.2" x14ac:dyDescent="0.25">
      <c r="D389" s="18"/>
      <c r="E389" s="18"/>
      <c r="F389" s="25"/>
      <c r="G389" s="25"/>
      <c r="H389" s="26"/>
    </row>
    <row r="390" spans="4:8" ht="13.2" x14ac:dyDescent="0.25">
      <c r="D390" s="18"/>
      <c r="E390" s="18"/>
      <c r="F390" s="25"/>
      <c r="G390" s="25"/>
      <c r="H390" s="26"/>
    </row>
    <row r="391" spans="4:8" ht="13.2" x14ac:dyDescent="0.25">
      <c r="D391" s="18"/>
      <c r="E391" s="18"/>
      <c r="F391" s="25"/>
      <c r="G391" s="25"/>
      <c r="H391" s="26"/>
    </row>
    <row r="392" spans="4:8" ht="13.2" x14ac:dyDescent="0.25">
      <c r="D392" s="18"/>
      <c r="E392" s="18"/>
      <c r="F392" s="25"/>
      <c r="G392" s="25"/>
      <c r="H392" s="26"/>
    </row>
    <row r="393" spans="4:8" ht="13.2" x14ac:dyDescent="0.25">
      <c r="D393" s="18"/>
      <c r="E393" s="18"/>
      <c r="F393" s="25"/>
      <c r="G393" s="25"/>
      <c r="H393" s="26"/>
    </row>
    <row r="394" spans="4:8" ht="13.2" x14ac:dyDescent="0.25">
      <c r="D394" s="18"/>
      <c r="E394" s="18"/>
      <c r="F394" s="25"/>
      <c r="G394" s="25"/>
      <c r="H394" s="26"/>
    </row>
    <row r="395" spans="4:8" ht="13.2" x14ac:dyDescent="0.25">
      <c r="D395" s="18"/>
      <c r="E395" s="18"/>
      <c r="F395" s="25"/>
      <c r="G395" s="25"/>
      <c r="H395" s="26"/>
    </row>
    <row r="396" spans="4:8" ht="13.2" x14ac:dyDescent="0.25">
      <c r="D396" s="18"/>
      <c r="E396" s="18"/>
      <c r="F396" s="25"/>
      <c r="G396" s="25"/>
      <c r="H396" s="26"/>
    </row>
    <row r="397" spans="4:8" ht="13.2" x14ac:dyDescent="0.25">
      <c r="D397" s="18"/>
      <c r="E397" s="18"/>
      <c r="F397" s="25"/>
      <c r="G397" s="25"/>
      <c r="H397" s="26"/>
    </row>
    <row r="398" spans="4:8" ht="13.2" x14ac:dyDescent="0.25">
      <c r="D398" s="18"/>
      <c r="E398" s="18"/>
      <c r="F398" s="25"/>
      <c r="G398" s="25"/>
      <c r="H398" s="26"/>
    </row>
    <row r="399" spans="4:8" ht="13.2" x14ac:dyDescent="0.25">
      <c r="D399" s="18"/>
      <c r="E399" s="18"/>
      <c r="F399" s="25"/>
      <c r="G399" s="25"/>
      <c r="H399" s="26"/>
    </row>
    <row r="400" spans="4:8" ht="13.2" x14ac:dyDescent="0.25">
      <c r="D400" s="18"/>
      <c r="E400" s="18"/>
      <c r="F400" s="25"/>
      <c r="G400" s="25"/>
      <c r="H400" s="26"/>
    </row>
    <row r="401" spans="4:8" ht="13.2" x14ac:dyDescent="0.25">
      <c r="D401" s="18"/>
      <c r="E401" s="18"/>
      <c r="F401" s="25"/>
      <c r="G401" s="25"/>
      <c r="H401" s="26"/>
    </row>
    <row r="402" spans="4:8" ht="13.2" x14ac:dyDescent="0.25">
      <c r="D402" s="18"/>
      <c r="E402" s="18"/>
      <c r="F402" s="25"/>
      <c r="G402" s="25"/>
      <c r="H402" s="26"/>
    </row>
    <row r="403" spans="4:8" ht="13.2" x14ac:dyDescent="0.25">
      <c r="D403" s="18"/>
      <c r="E403" s="18"/>
      <c r="F403" s="25"/>
      <c r="G403" s="25"/>
      <c r="H403" s="26"/>
    </row>
    <row r="404" spans="4:8" ht="13.2" x14ac:dyDescent="0.25">
      <c r="D404" s="18"/>
      <c r="E404" s="18"/>
      <c r="F404" s="25"/>
      <c r="G404" s="25"/>
      <c r="H404" s="26"/>
    </row>
    <row r="405" spans="4:8" ht="13.2" x14ac:dyDescent="0.25">
      <c r="D405" s="18"/>
      <c r="E405" s="18"/>
      <c r="F405" s="25"/>
      <c r="G405" s="25"/>
      <c r="H405" s="26"/>
    </row>
    <row r="406" spans="4:8" ht="13.2" x14ac:dyDescent="0.25">
      <c r="D406" s="18"/>
      <c r="E406" s="18"/>
      <c r="F406" s="25"/>
      <c r="G406" s="25"/>
      <c r="H406" s="26"/>
    </row>
    <row r="407" spans="4:8" ht="13.2" x14ac:dyDescent="0.25">
      <c r="D407" s="18"/>
      <c r="E407" s="18"/>
      <c r="F407" s="25"/>
      <c r="G407" s="25"/>
      <c r="H407" s="26"/>
    </row>
    <row r="408" spans="4:8" ht="13.2" x14ac:dyDescent="0.25">
      <c r="D408" s="18"/>
      <c r="E408" s="18"/>
      <c r="F408" s="25"/>
      <c r="G408" s="25"/>
      <c r="H408" s="26"/>
    </row>
    <row r="409" spans="4:8" ht="13.2" x14ac:dyDescent="0.25">
      <c r="D409" s="18"/>
      <c r="E409" s="18"/>
      <c r="F409" s="25"/>
      <c r="G409" s="25"/>
      <c r="H409" s="26"/>
    </row>
    <row r="410" spans="4:8" ht="13.2" x14ac:dyDescent="0.25">
      <c r="D410" s="18"/>
      <c r="E410" s="18"/>
      <c r="F410" s="25"/>
      <c r="G410" s="25"/>
      <c r="H410" s="26"/>
    </row>
    <row r="411" spans="4:8" ht="13.2" x14ac:dyDescent="0.25">
      <c r="D411" s="18"/>
      <c r="E411" s="18"/>
      <c r="F411" s="25"/>
      <c r="G411" s="25"/>
      <c r="H411" s="26"/>
    </row>
    <row r="412" spans="4:8" ht="13.2" x14ac:dyDescent="0.25">
      <c r="D412" s="18"/>
      <c r="E412" s="18"/>
      <c r="F412" s="25"/>
      <c r="G412" s="25"/>
      <c r="H412" s="26"/>
    </row>
    <row r="413" spans="4:8" ht="13.2" x14ac:dyDescent="0.25">
      <c r="D413" s="18"/>
      <c r="E413" s="18"/>
      <c r="F413" s="25"/>
      <c r="G413" s="25"/>
      <c r="H413" s="26"/>
    </row>
    <row r="414" spans="4:8" ht="13.2" x14ac:dyDescent="0.25">
      <c r="D414" s="18"/>
      <c r="E414" s="18"/>
      <c r="F414" s="25"/>
      <c r="G414" s="25"/>
      <c r="H414" s="26"/>
    </row>
    <row r="415" spans="4:8" ht="13.2" x14ac:dyDescent="0.25">
      <c r="D415" s="18"/>
      <c r="E415" s="18"/>
      <c r="F415" s="25"/>
      <c r="G415" s="25"/>
      <c r="H415" s="26"/>
    </row>
    <row r="416" spans="4:8" ht="13.2" x14ac:dyDescent="0.25">
      <c r="D416" s="18"/>
      <c r="E416" s="18"/>
      <c r="F416" s="25"/>
      <c r="G416" s="25"/>
      <c r="H416" s="26"/>
    </row>
    <row r="417" spans="4:8" ht="13.2" x14ac:dyDescent="0.25">
      <c r="D417" s="18"/>
      <c r="E417" s="18"/>
      <c r="F417" s="25"/>
      <c r="G417" s="25"/>
      <c r="H417" s="26"/>
    </row>
    <row r="418" spans="4:8" ht="13.2" x14ac:dyDescent="0.25">
      <c r="D418" s="18"/>
      <c r="E418" s="18"/>
      <c r="F418" s="25"/>
      <c r="G418" s="25"/>
      <c r="H418" s="26"/>
    </row>
    <row r="419" spans="4:8" ht="13.2" x14ac:dyDescent="0.25">
      <c r="D419" s="18"/>
      <c r="E419" s="18"/>
      <c r="F419" s="25"/>
      <c r="G419" s="25"/>
      <c r="H419" s="26"/>
    </row>
    <row r="420" spans="4:8" ht="13.2" x14ac:dyDescent="0.25">
      <c r="D420" s="18"/>
      <c r="E420" s="18"/>
      <c r="F420" s="25"/>
      <c r="G420" s="25"/>
      <c r="H420" s="26"/>
    </row>
    <row r="421" spans="4:8" ht="13.2" x14ac:dyDescent="0.25">
      <c r="D421" s="18"/>
      <c r="E421" s="18"/>
      <c r="F421" s="25"/>
      <c r="G421" s="25"/>
      <c r="H421" s="26"/>
    </row>
    <row r="422" spans="4:8" ht="13.2" x14ac:dyDescent="0.25">
      <c r="D422" s="18"/>
      <c r="E422" s="18"/>
      <c r="F422" s="25"/>
      <c r="G422" s="25"/>
      <c r="H422" s="26"/>
    </row>
    <row r="423" spans="4:8" ht="13.2" x14ac:dyDescent="0.25">
      <c r="D423" s="18"/>
      <c r="E423" s="18"/>
      <c r="F423" s="25"/>
      <c r="G423" s="25"/>
      <c r="H423" s="26"/>
    </row>
    <row r="424" spans="4:8" ht="13.2" x14ac:dyDescent="0.25">
      <c r="D424" s="18"/>
      <c r="E424" s="18"/>
      <c r="F424" s="25"/>
      <c r="G424" s="25"/>
      <c r="H424" s="26"/>
    </row>
    <row r="425" spans="4:8" ht="13.2" x14ac:dyDescent="0.25">
      <c r="D425" s="18"/>
      <c r="E425" s="18"/>
      <c r="F425" s="25"/>
      <c r="G425" s="25"/>
      <c r="H425" s="26"/>
    </row>
    <row r="426" spans="4:8" ht="13.2" x14ac:dyDescent="0.25">
      <c r="D426" s="18"/>
      <c r="E426" s="18"/>
      <c r="F426" s="25"/>
      <c r="G426" s="25"/>
      <c r="H426" s="26"/>
    </row>
    <row r="427" spans="4:8" ht="13.2" x14ac:dyDescent="0.25">
      <c r="D427" s="18"/>
      <c r="E427" s="18"/>
      <c r="F427" s="25"/>
      <c r="G427" s="25"/>
      <c r="H427" s="26"/>
    </row>
    <row r="428" spans="4:8" ht="13.2" x14ac:dyDescent="0.25">
      <c r="D428" s="18"/>
      <c r="E428" s="18"/>
      <c r="F428" s="25"/>
      <c r="G428" s="25"/>
      <c r="H428" s="26"/>
    </row>
    <row r="429" spans="4:8" ht="13.2" x14ac:dyDescent="0.25">
      <c r="D429" s="18"/>
      <c r="E429" s="18"/>
      <c r="F429" s="25"/>
      <c r="G429" s="25"/>
      <c r="H429" s="26"/>
    </row>
    <row r="430" spans="4:8" ht="13.2" x14ac:dyDescent="0.25">
      <c r="D430" s="18"/>
      <c r="E430" s="18"/>
      <c r="F430" s="25"/>
      <c r="G430" s="25"/>
      <c r="H430" s="26"/>
    </row>
    <row r="431" spans="4:8" ht="13.2" x14ac:dyDescent="0.25">
      <c r="D431" s="18"/>
      <c r="E431" s="18"/>
      <c r="F431" s="25"/>
      <c r="G431" s="25"/>
      <c r="H431" s="26"/>
    </row>
    <row r="432" spans="4:8" ht="13.2" x14ac:dyDescent="0.25">
      <c r="D432" s="18"/>
      <c r="E432" s="18"/>
      <c r="F432" s="25"/>
      <c r="G432" s="25"/>
      <c r="H432" s="26"/>
    </row>
    <row r="433" spans="4:8" ht="13.2" x14ac:dyDescent="0.25">
      <c r="D433" s="18"/>
      <c r="E433" s="18"/>
      <c r="F433" s="25"/>
      <c r="G433" s="25"/>
      <c r="H433" s="26"/>
    </row>
    <row r="434" spans="4:8" ht="13.2" x14ac:dyDescent="0.25">
      <c r="D434" s="18"/>
      <c r="E434" s="18"/>
      <c r="F434" s="25"/>
      <c r="G434" s="25"/>
      <c r="H434" s="26"/>
    </row>
    <row r="435" spans="4:8" ht="13.2" x14ac:dyDescent="0.25">
      <c r="D435" s="18"/>
      <c r="E435" s="18"/>
      <c r="F435" s="25"/>
      <c r="G435" s="25"/>
      <c r="H435" s="26"/>
    </row>
    <row r="436" spans="4:8" ht="13.2" x14ac:dyDescent="0.25">
      <c r="D436" s="18"/>
      <c r="E436" s="18"/>
      <c r="F436" s="25"/>
      <c r="G436" s="25"/>
      <c r="H436" s="26"/>
    </row>
    <row r="437" spans="4:8" ht="13.2" x14ac:dyDescent="0.25">
      <c r="D437" s="18"/>
      <c r="E437" s="18"/>
      <c r="F437" s="25"/>
      <c r="G437" s="25"/>
      <c r="H437" s="26"/>
    </row>
    <row r="438" spans="4:8" ht="13.2" x14ac:dyDescent="0.25">
      <c r="D438" s="18"/>
      <c r="E438" s="18"/>
      <c r="F438" s="25"/>
      <c r="G438" s="25"/>
      <c r="H438" s="26"/>
    </row>
    <row r="439" spans="4:8" ht="13.2" x14ac:dyDescent="0.25">
      <c r="D439" s="18"/>
      <c r="E439" s="18"/>
      <c r="F439" s="25"/>
      <c r="G439" s="25"/>
      <c r="H439" s="26"/>
    </row>
    <row r="440" spans="4:8" ht="13.2" x14ac:dyDescent="0.25">
      <c r="D440" s="18"/>
      <c r="E440" s="18"/>
      <c r="F440" s="25"/>
      <c r="G440" s="25"/>
      <c r="H440" s="26"/>
    </row>
    <row r="441" spans="4:8" ht="13.2" x14ac:dyDescent="0.25">
      <c r="D441" s="18"/>
      <c r="E441" s="18"/>
      <c r="F441" s="25"/>
      <c r="G441" s="25"/>
      <c r="H441" s="26"/>
    </row>
    <row r="442" spans="4:8" ht="13.2" x14ac:dyDescent="0.25">
      <c r="D442" s="18"/>
      <c r="E442" s="18"/>
      <c r="F442" s="25"/>
      <c r="G442" s="25"/>
      <c r="H442" s="26"/>
    </row>
    <row r="443" spans="4:8" ht="13.2" x14ac:dyDescent="0.25">
      <c r="D443" s="18"/>
      <c r="E443" s="18"/>
      <c r="F443" s="25"/>
      <c r="G443" s="25"/>
      <c r="H443" s="26"/>
    </row>
    <row r="444" spans="4:8" ht="13.2" x14ac:dyDescent="0.25">
      <c r="D444" s="18"/>
      <c r="E444" s="18"/>
      <c r="F444" s="25"/>
      <c r="G444" s="25"/>
      <c r="H444" s="26"/>
    </row>
    <row r="445" spans="4:8" ht="13.2" x14ac:dyDescent="0.25">
      <c r="D445" s="18"/>
      <c r="E445" s="18"/>
      <c r="F445" s="25"/>
      <c r="G445" s="25"/>
      <c r="H445" s="26"/>
    </row>
    <row r="446" spans="4:8" ht="13.2" x14ac:dyDescent="0.25">
      <c r="D446" s="18"/>
      <c r="E446" s="18"/>
      <c r="F446" s="25"/>
      <c r="G446" s="25"/>
      <c r="H446" s="26"/>
    </row>
    <row r="447" spans="4:8" ht="13.2" x14ac:dyDescent="0.25">
      <c r="D447" s="18"/>
      <c r="E447" s="18"/>
      <c r="F447" s="25"/>
      <c r="G447" s="25"/>
      <c r="H447" s="26"/>
    </row>
    <row r="448" spans="4:8" ht="13.2" x14ac:dyDescent="0.25">
      <c r="D448" s="18"/>
      <c r="E448" s="18"/>
      <c r="F448" s="25"/>
      <c r="G448" s="25"/>
      <c r="H448" s="26"/>
    </row>
    <row r="449" spans="4:8" ht="13.2" x14ac:dyDescent="0.25">
      <c r="D449" s="18"/>
      <c r="E449" s="18"/>
      <c r="F449" s="25"/>
      <c r="G449" s="25"/>
      <c r="H449" s="26"/>
    </row>
    <row r="450" spans="4:8" ht="13.2" x14ac:dyDescent="0.25">
      <c r="D450" s="18"/>
      <c r="E450" s="18"/>
      <c r="F450" s="25"/>
      <c r="G450" s="25"/>
      <c r="H450" s="26"/>
    </row>
    <row r="451" spans="4:8" ht="13.2" x14ac:dyDescent="0.25">
      <c r="D451" s="18"/>
      <c r="E451" s="18"/>
      <c r="F451" s="25"/>
      <c r="G451" s="25"/>
      <c r="H451" s="26"/>
    </row>
    <row r="452" spans="4:8" ht="13.2" x14ac:dyDescent="0.25">
      <c r="D452" s="18"/>
      <c r="E452" s="18"/>
      <c r="F452" s="25"/>
      <c r="G452" s="25"/>
      <c r="H452" s="26"/>
    </row>
    <row r="453" spans="4:8" ht="13.2" x14ac:dyDescent="0.25">
      <c r="D453" s="18"/>
      <c r="E453" s="18"/>
      <c r="F453" s="25"/>
      <c r="G453" s="25"/>
      <c r="H453" s="26"/>
    </row>
    <row r="454" spans="4:8" ht="13.2" x14ac:dyDescent="0.25">
      <c r="D454" s="18"/>
      <c r="E454" s="18"/>
      <c r="F454" s="25"/>
      <c r="G454" s="25"/>
      <c r="H454" s="26"/>
    </row>
    <row r="455" spans="4:8" ht="13.2" x14ac:dyDescent="0.25">
      <c r="D455" s="18"/>
      <c r="E455" s="18"/>
      <c r="F455" s="25"/>
      <c r="G455" s="25"/>
      <c r="H455" s="26"/>
    </row>
    <row r="456" spans="4:8" ht="13.2" x14ac:dyDescent="0.25">
      <c r="D456" s="18"/>
      <c r="E456" s="18"/>
      <c r="F456" s="25"/>
      <c r="G456" s="25"/>
      <c r="H456" s="26"/>
    </row>
    <row r="457" spans="4:8" ht="13.2" x14ac:dyDescent="0.25">
      <c r="D457" s="18"/>
      <c r="E457" s="18"/>
      <c r="F457" s="25"/>
      <c r="G457" s="25"/>
      <c r="H457" s="26"/>
    </row>
    <row r="458" spans="4:8" ht="13.2" x14ac:dyDescent="0.25">
      <c r="D458" s="18"/>
      <c r="E458" s="18"/>
      <c r="F458" s="25"/>
      <c r="G458" s="25"/>
      <c r="H458" s="26"/>
    </row>
    <row r="459" spans="4:8" ht="13.2" x14ac:dyDescent="0.25">
      <c r="D459" s="18"/>
      <c r="E459" s="18"/>
      <c r="F459" s="25"/>
      <c r="G459" s="25"/>
      <c r="H459" s="26"/>
    </row>
    <row r="460" spans="4:8" ht="13.2" x14ac:dyDescent="0.25">
      <c r="D460" s="18"/>
      <c r="E460" s="18"/>
      <c r="F460" s="25"/>
      <c r="G460" s="25"/>
      <c r="H460" s="26"/>
    </row>
    <row r="461" spans="4:8" ht="13.2" x14ac:dyDescent="0.25">
      <c r="D461" s="18"/>
      <c r="E461" s="18"/>
      <c r="F461" s="25"/>
      <c r="G461" s="25"/>
      <c r="H461" s="26"/>
    </row>
    <row r="462" spans="4:8" ht="13.2" x14ac:dyDescent="0.25">
      <c r="D462" s="18"/>
      <c r="E462" s="18"/>
      <c r="F462" s="25"/>
      <c r="G462" s="25"/>
      <c r="H462" s="26"/>
    </row>
    <row r="463" spans="4:8" ht="13.2" x14ac:dyDescent="0.25">
      <c r="D463" s="18"/>
      <c r="E463" s="18"/>
      <c r="F463" s="25"/>
      <c r="G463" s="25"/>
      <c r="H463" s="26"/>
    </row>
    <row r="464" spans="4:8" ht="13.2" x14ac:dyDescent="0.25">
      <c r="D464" s="18"/>
      <c r="E464" s="18"/>
      <c r="F464" s="25"/>
      <c r="G464" s="25"/>
      <c r="H464" s="26"/>
    </row>
    <row r="465" spans="4:8" ht="13.2" x14ac:dyDescent="0.25">
      <c r="D465" s="18"/>
      <c r="E465" s="18"/>
      <c r="F465" s="25"/>
      <c r="G465" s="25"/>
      <c r="H465" s="26"/>
    </row>
    <row r="466" spans="4:8" ht="13.2" x14ac:dyDescent="0.25">
      <c r="D466" s="18"/>
      <c r="E466" s="18"/>
      <c r="F466" s="25"/>
      <c r="G466" s="25"/>
      <c r="H466" s="26"/>
    </row>
    <row r="467" spans="4:8" ht="13.2" x14ac:dyDescent="0.25">
      <c r="D467" s="18"/>
      <c r="E467" s="18"/>
      <c r="F467" s="25"/>
      <c r="G467" s="25"/>
      <c r="H467" s="26"/>
    </row>
    <row r="468" spans="4:8" ht="13.2" x14ac:dyDescent="0.25">
      <c r="D468" s="18"/>
      <c r="E468" s="18"/>
      <c r="F468" s="25"/>
      <c r="G468" s="25"/>
      <c r="H468" s="26"/>
    </row>
    <row r="469" spans="4:8" ht="13.2" x14ac:dyDescent="0.25">
      <c r="D469" s="18"/>
      <c r="E469" s="18"/>
      <c r="F469" s="25"/>
      <c r="G469" s="25"/>
      <c r="H469" s="26"/>
    </row>
    <row r="470" spans="4:8" ht="13.2" x14ac:dyDescent="0.25">
      <c r="D470" s="18"/>
      <c r="E470" s="18"/>
      <c r="F470" s="25"/>
      <c r="G470" s="25"/>
      <c r="H470" s="26"/>
    </row>
    <row r="471" spans="4:8" ht="13.2" x14ac:dyDescent="0.25">
      <c r="D471" s="18"/>
      <c r="E471" s="18"/>
      <c r="F471" s="25"/>
      <c r="G471" s="25"/>
      <c r="H471" s="26"/>
    </row>
    <row r="472" spans="4:8" ht="13.2" x14ac:dyDescent="0.25">
      <c r="D472" s="18"/>
      <c r="E472" s="18"/>
      <c r="F472" s="25"/>
      <c r="G472" s="25"/>
      <c r="H472" s="26"/>
    </row>
    <row r="473" spans="4:8" ht="13.2" x14ac:dyDescent="0.25">
      <c r="D473" s="18"/>
      <c r="E473" s="18"/>
      <c r="F473" s="25"/>
      <c r="G473" s="25"/>
      <c r="H473" s="26"/>
    </row>
    <row r="474" spans="4:8" ht="13.2" x14ac:dyDescent="0.25">
      <c r="D474" s="18"/>
      <c r="E474" s="18"/>
      <c r="F474" s="25"/>
      <c r="G474" s="25"/>
      <c r="H474" s="26"/>
    </row>
    <row r="475" spans="4:8" ht="13.2" x14ac:dyDescent="0.25">
      <c r="D475" s="18"/>
      <c r="E475" s="18"/>
      <c r="F475" s="25"/>
      <c r="G475" s="25"/>
      <c r="H475" s="26"/>
    </row>
    <row r="476" spans="4:8" ht="13.2" x14ac:dyDescent="0.25">
      <c r="D476" s="18"/>
      <c r="E476" s="18"/>
      <c r="F476" s="25"/>
      <c r="G476" s="25"/>
      <c r="H476" s="26"/>
    </row>
    <row r="477" spans="4:8" ht="13.2" x14ac:dyDescent="0.25">
      <c r="D477" s="18"/>
      <c r="E477" s="18"/>
      <c r="F477" s="25"/>
      <c r="G477" s="25"/>
      <c r="H477" s="26"/>
    </row>
    <row r="478" spans="4:8" ht="13.2" x14ac:dyDescent="0.25">
      <c r="D478" s="18"/>
      <c r="E478" s="18"/>
      <c r="F478" s="25"/>
      <c r="G478" s="25"/>
      <c r="H478" s="26"/>
    </row>
    <row r="479" spans="4:8" ht="13.2" x14ac:dyDescent="0.25">
      <c r="D479" s="18"/>
      <c r="E479" s="18"/>
      <c r="F479" s="25"/>
      <c r="G479" s="25"/>
      <c r="H479" s="26"/>
    </row>
    <row r="480" spans="4:8" ht="13.2" x14ac:dyDescent="0.25">
      <c r="D480" s="18"/>
      <c r="E480" s="18"/>
      <c r="F480" s="25"/>
      <c r="G480" s="25"/>
      <c r="H480" s="26"/>
    </row>
    <row r="481" spans="4:8" ht="13.2" x14ac:dyDescent="0.25">
      <c r="D481" s="18"/>
      <c r="E481" s="18"/>
      <c r="F481" s="25"/>
      <c r="G481" s="25"/>
      <c r="H481" s="26"/>
    </row>
    <row r="482" spans="4:8" ht="13.2" x14ac:dyDescent="0.25">
      <c r="D482" s="18"/>
      <c r="E482" s="18"/>
      <c r="F482" s="25"/>
      <c r="G482" s="25"/>
      <c r="H482" s="26"/>
    </row>
    <row r="483" spans="4:8" ht="13.2" x14ac:dyDescent="0.25">
      <c r="D483" s="18"/>
      <c r="E483" s="18"/>
      <c r="F483" s="25"/>
      <c r="G483" s="25"/>
      <c r="H483" s="26"/>
    </row>
    <row r="484" spans="4:8" ht="13.2" x14ac:dyDescent="0.25">
      <c r="D484" s="18"/>
      <c r="E484" s="18"/>
      <c r="F484" s="25"/>
      <c r="G484" s="25"/>
      <c r="H484" s="26"/>
    </row>
    <row r="485" spans="4:8" ht="13.2" x14ac:dyDescent="0.25">
      <c r="D485" s="18"/>
      <c r="E485" s="18"/>
      <c r="F485" s="25"/>
      <c r="G485" s="25"/>
      <c r="H485" s="26"/>
    </row>
    <row r="486" spans="4:8" ht="13.2" x14ac:dyDescent="0.25">
      <c r="D486" s="18"/>
      <c r="E486" s="18"/>
      <c r="F486" s="25"/>
      <c r="G486" s="25"/>
      <c r="H486" s="26"/>
    </row>
    <row r="487" spans="4:8" ht="13.2" x14ac:dyDescent="0.25">
      <c r="D487" s="18"/>
      <c r="E487" s="18"/>
      <c r="F487" s="25"/>
      <c r="G487" s="25"/>
      <c r="H487" s="26"/>
    </row>
    <row r="488" spans="4:8" ht="13.2" x14ac:dyDescent="0.25">
      <c r="D488" s="18"/>
      <c r="E488" s="18"/>
      <c r="F488" s="25"/>
      <c r="G488" s="25"/>
      <c r="H488" s="26"/>
    </row>
    <row r="489" spans="4:8" ht="13.2" x14ac:dyDescent="0.25">
      <c r="D489" s="18"/>
      <c r="E489" s="18"/>
      <c r="F489" s="25"/>
      <c r="G489" s="25"/>
      <c r="H489" s="26"/>
    </row>
    <row r="490" spans="4:8" ht="13.2" x14ac:dyDescent="0.25">
      <c r="D490" s="18"/>
      <c r="E490" s="18"/>
      <c r="F490" s="25"/>
      <c r="G490" s="25"/>
      <c r="H490" s="26"/>
    </row>
    <row r="491" spans="4:8" ht="13.2" x14ac:dyDescent="0.25">
      <c r="D491" s="18"/>
      <c r="E491" s="18"/>
      <c r="F491" s="25"/>
      <c r="G491" s="25"/>
      <c r="H491" s="26"/>
    </row>
    <row r="492" spans="4:8" ht="13.2" x14ac:dyDescent="0.25">
      <c r="D492" s="18"/>
      <c r="E492" s="18"/>
      <c r="F492" s="25"/>
      <c r="G492" s="25"/>
      <c r="H492" s="26"/>
    </row>
    <row r="493" spans="4:8" ht="13.2" x14ac:dyDescent="0.25">
      <c r="D493" s="18"/>
      <c r="E493" s="18"/>
      <c r="F493" s="25"/>
      <c r="G493" s="25"/>
      <c r="H493" s="26"/>
    </row>
    <row r="494" spans="4:8" ht="13.2" x14ac:dyDescent="0.25">
      <c r="D494" s="18"/>
      <c r="E494" s="18"/>
      <c r="F494" s="25"/>
      <c r="G494" s="25"/>
      <c r="H494" s="26"/>
    </row>
    <row r="495" spans="4:8" ht="13.2" x14ac:dyDescent="0.25">
      <c r="D495" s="18"/>
      <c r="E495" s="18"/>
      <c r="F495" s="25"/>
      <c r="G495" s="25"/>
      <c r="H495" s="26"/>
    </row>
    <row r="496" spans="4:8" ht="13.2" x14ac:dyDescent="0.25">
      <c r="D496" s="18"/>
      <c r="E496" s="18"/>
      <c r="F496" s="25"/>
      <c r="G496" s="25"/>
      <c r="H496" s="26"/>
    </row>
    <row r="497" spans="4:8" ht="13.2" x14ac:dyDescent="0.25">
      <c r="D497" s="18"/>
      <c r="E497" s="18"/>
      <c r="F497" s="25"/>
      <c r="G497" s="25"/>
      <c r="H497" s="26"/>
    </row>
    <row r="498" spans="4:8" ht="13.2" x14ac:dyDescent="0.25">
      <c r="D498" s="18"/>
      <c r="E498" s="18"/>
      <c r="F498" s="25"/>
      <c r="G498" s="25"/>
      <c r="H498" s="26"/>
    </row>
    <row r="499" spans="4:8" ht="13.2" x14ac:dyDescent="0.25">
      <c r="D499" s="18"/>
      <c r="E499" s="18"/>
      <c r="F499" s="25"/>
      <c r="G499" s="25"/>
      <c r="H499" s="26"/>
    </row>
    <row r="500" spans="4:8" ht="13.2" x14ac:dyDescent="0.25">
      <c r="D500" s="18"/>
      <c r="E500" s="18"/>
      <c r="F500" s="25"/>
      <c r="G500" s="25"/>
      <c r="H500" s="26"/>
    </row>
    <row r="501" spans="4:8" ht="13.2" x14ac:dyDescent="0.25">
      <c r="D501" s="18"/>
      <c r="E501" s="18"/>
      <c r="F501" s="25"/>
      <c r="G501" s="25"/>
      <c r="H501" s="26"/>
    </row>
    <row r="502" spans="4:8" ht="13.2" x14ac:dyDescent="0.25">
      <c r="D502" s="18"/>
      <c r="E502" s="18"/>
      <c r="F502" s="25"/>
      <c r="G502" s="25"/>
      <c r="H502" s="26"/>
    </row>
    <row r="503" spans="4:8" ht="13.2" x14ac:dyDescent="0.25">
      <c r="D503" s="18"/>
      <c r="E503" s="18"/>
      <c r="F503" s="25"/>
      <c r="G503" s="25"/>
      <c r="H503" s="26"/>
    </row>
    <row r="504" spans="4:8" ht="13.2" x14ac:dyDescent="0.25">
      <c r="D504" s="18"/>
      <c r="E504" s="18"/>
      <c r="F504" s="25"/>
      <c r="G504" s="25"/>
      <c r="H504" s="26"/>
    </row>
    <row r="505" spans="4:8" ht="13.2" x14ac:dyDescent="0.25">
      <c r="D505" s="18"/>
      <c r="E505" s="18"/>
      <c r="F505" s="25"/>
      <c r="G505" s="25"/>
      <c r="H505" s="26"/>
    </row>
    <row r="506" spans="4:8" ht="13.2" x14ac:dyDescent="0.25">
      <c r="D506" s="18"/>
      <c r="E506" s="18"/>
      <c r="F506" s="25"/>
      <c r="G506" s="25"/>
      <c r="H506" s="26"/>
    </row>
    <row r="507" spans="4:8" ht="13.2" x14ac:dyDescent="0.25">
      <c r="D507" s="18"/>
      <c r="E507" s="18"/>
      <c r="F507" s="25"/>
      <c r="G507" s="25"/>
      <c r="H507" s="26"/>
    </row>
    <row r="508" spans="4:8" ht="13.2" x14ac:dyDescent="0.25">
      <c r="D508" s="18"/>
      <c r="E508" s="18"/>
      <c r="F508" s="25"/>
      <c r="G508" s="25"/>
      <c r="H508" s="26"/>
    </row>
    <row r="509" spans="4:8" ht="13.2" x14ac:dyDescent="0.25">
      <c r="D509" s="18"/>
      <c r="E509" s="18"/>
      <c r="F509" s="25"/>
      <c r="G509" s="25"/>
      <c r="H509" s="26"/>
    </row>
    <row r="510" spans="4:8" ht="13.2" x14ac:dyDescent="0.25">
      <c r="D510" s="18"/>
      <c r="E510" s="18"/>
      <c r="F510" s="25"/>
      <c r="G510" s="25"/>
      <c r="H510" s="26"/>
    </row>
    <row r="511" spans="4:8" ht="13.2" x14ac:dyDescent="0.25">
      <c r="D511" s="18"/>
      <c r="E511" s="18"/>
      <c r="F511" s="25"/>
      <c r="G511" s="25"/>
      <c r="H511" s="26"/>
    </row>
    <row r="512" spans="4:8" ht="13.2" x14ac:dyDescent="0.25">
      <c r="D512" s="18"/>
      <c r="E512" s="18"/>
      <c r="F512" s="25"/>
      <c r="G512" s="25"/>
      <c r="H512" s="26"/>
    </row>
    <row r="513" spans="4:8" ht="13.2" x14ac:dyDescent="0.25">
      <c r="D513" s="18"/>
      <c r="E513" s="18"/>
      <c r="F513" s="25"/>
      <c r="G513" s="25"/>
      <c r="H513" s="26"/>
    </row>
    <row r="514" spans="4:8" ht="13.2" x14ac:dyDescent="0.25">
      <c r="D514" s="18"/>
      <c r="E514" s="18"/>
      <c r="F514" s="25"/>
      <c r="G514" s="25"/>
      <c r="H514" s="26"/>
    </row>
    <row r="515" spans="4:8" ht="13.2" x14ac:dyDescent="0.25">
      <c r="D515" s="18"/>
      <c r="E515" s="18"/>
      <c r="F515" s="25"/>
      <c r="G515" s="25"/>
      <c r="H515" s="26"/>
    </row>
    <row r="516" spans="4:8" ht="13.2" x14ac:dyDescent="0.25">
      <c r="D516" s="18"/>
      <c r="E516" s="18"/>
      <c r="F516" s="25"/>
      <c r="G516" s="25"/>
      <c r="H516" s="26"/>
    </row>
    <row r="517" spans="4:8" ht="13.2" x14ac:dyDescent="0.25">
      <c r="D517" s="18"/>
      <c r="E517" s="18"/>
      <c r="F517" s="25"/>
      <c r="G517" s="25"/>
      <c r="H517" s="26"/>
    </row>
    <row r="518" spans="4:8" ht="13.2" x14ac:dyDescent="0.25">
      <c r="D518" s="18"/>
      <c r="E518" s="18"/>
      <c r="F518" s="25"/>
      <c r="G518" s="25"/>
      <c r="H518" s="26"/>
    </row>
    <row r="519" spans="4:8" ht="13.2" x14ac:dyDescent="0.25">
      <c r="D519" s="18"/>
      <c r="E519" s="18"/>
      <c r="F519" s="25"/>
      <c r="G519" s="25"/>
      <c r="H519" s="26"/>
    </row>
    <row r="520" spans="4:8" ht="13.2" x14ac:dyDescent="0.25">
      <c r="D520" s="18"/>
      <c r="E520" s="18"/>
      <c r="F520" s="25"/>
      <c r="G520" s="25"/>
      <c r="H520" s="26"/>
    </row>
    <row r="521" spans="4:8" ht="13.2" x14ac:dyDescent="0.25">
      <c r="D521" s="18"/>
      <c r="E521" s="18"/>
      <c r="F521" s="25"/>
      <c r="G521" s="25"/>
      <c r="H521" s="26"/>
    </row>
    <row r="522" spans="4:8" ht="13.2" x14ac:dyDescent="0.25">
      <c r="D522" s="18"/>
      <c r="E522" s="18"/>
      <c r="F522" s="25"/>
      <c r="G522" s="25"/>
      <c r="H522" s="26"/>
    </row>
    <row r="523" spans="4:8" ht="13.2" x14ac:dyDescent="0.25">
      <c r="D523" s="18"/>
      <c r="E523" s="18"/>
      <c r="F523" s="25"/>
      <c r="G523" s="25"/>
      <c r="H523" s="26"/>
    </row>
    <row r="524" spans="4:8" ht="13.2" x14ac:dyDescent="0.25">
      <c r="D524" s="18"/>
      <c r="E524" s="18"/>
      <c r="F524" s="25"/>
      <c r="G524" s="25"/>
      <c r="H524" s="26"/>
    </row>
    <row r="525" spans="4:8" ht="13.2" x14ac:dyDescent="0.25">
      <c r="D525" s="18"/>
      <c r="E525" s="18"/>
      <c r="F525" s="25"/>
      <c r="G525" s="25"/>
      <c r="H525" s="26"/>
    </row>
    <row r="526" spans="4:8" ht="13.2" x14ac:dyDescent="0.25">
      <c r="D526" s="18"/>
      <c r="E526" s="18"/>
      <c r="F526" s="25"/>
      <c r="G526" s="25"/>
      <c r="H526" s="26"/>
    </row>
    <row r="527" spans="4:8" ht="13.2" x14ac:dyDescent="0.25">
      <c r="D527" s="18"/>
      <c r="E527" s="18"/>
      <c r="F527" s="25"/>
      <c r="G527" s="25"/>
      <c r="H527" s="26"/>
    </row>
    <row r="528" spans="4:8" ht="13.2" x14ac:dyDescent="0.25">
      <c r="D528" s="18"/>
      <c r="E528" s="18"/>
      <c r="F528" s="25"/>
      <c r="G528" s="25"/>
      <c r="H528" s="26"/>
    </row>
    <row r="529" spans="4:8" ht="13.2" x14ac:dyDescent="0.25">
      <c r="D529" s="18"/>
      <c r="E529" s="18"/>
      <c r="F529" s="25"/>
      <c r="G529" s="25"/>
      <c r="H529" s="26"/>
    </row>
    <row r="530" spans="4:8" ht="13.2" x14ac:dyDescent="0.25">
      <c r="D530" s="18"/>
      <c r="E530" s="18"/>
      <c r="F530" s="25"/>
      <c r="G530" s="25"/>
      <c r="H530" s="26"/>
    </row>
    <row r="531" spans="4:8" ht="13.2" x14ac:dyDescent="0.25">
      <c r="D531" s="18"/>
      <c r="E531" s="18"/>
      <c r="F531" s="25"/>
      <c r="G531" s="25"/>
      <c r="H531" s="26"/>
    </row>
    <row r="532" spans="4:8" ht="13.2" x14ac:dyDescent="0.25">
      <c r="D532" s="18"/>
      <c r="E532" s="18"/>
      <c r="F532" s="25"/>
      <c r="G532" s="25"/>
      <c r="H532" s="26"/>
    </row>
    <row r="533" spans="4:8" ht="13.2" x14ac:dyDescent="0.25">
      <c r="D533" s="18"/>
      <c r="E533" s="18"/>
      <c r="F533" s="25"/>
      <c r="G533" s="25"/>
      <c r="H533" s="26"/>
    </row>
    <row r="534" spans="4:8" ht="13.2" x14ac:dyDescent="0.25">
      <c r="D534" s="18"/>
      <c r="E534" s="18"/>
      <c r="F534" s="25"/>
      <c r="G534" s="25"/>
      <c r="H534" s="26"/>
    </row>
    <row r="535" spans="4:8" ht="13.2" x14ac:dyDescent="0.25">
      <c r="D535" s="18"/>
      <c r="E535" s="18"/>
      <c r="F535" s="25"/>
      <c r="G535" s="25"/>
      <c r="H535" s="26"/>
    </row>
    <row r="536" spans="4:8" ht="13.2" x14ac:dyDescent="0.25">
      <c r="D536" s="18"/>
      <c r="E536" s="18"/>
      <c r="F536" s="25"/>
      <c r="G536" s="25"/>
      <c r="H536" s="26"/>
    </row>
    <row r="537" spans="4:8" ht="13.2" x14ac:dyDescent="0.25">
      <c r="D537" s="18"/>
      <c r="E537" s="18"/>
      <c r="F537" s="25"/>
      <c r="G537" s="25"/>
      <c r="H537" s="26"/>
    </row>
    <row r="538" spans="4:8" ht="13.2" x14ac:dyDescent="0.25">
      <c r="D538" s="18"/>
      <c r="E538" s="18"/>
      <c r="F538" s="25"/>
      <c r="G538" s="25"/>
      <c r="H538" s="26"/>
    </row>
    <row r="539" spans="4:8" ht="13.2" x14ac:dyDescent="0.25">
      <c r="D539" s="18"/>
      <c r="E539" s="18"/>
      <c r="F539" s="25"/>
      <c r="G539" s="25"/>
      <c r="H539" s="26"/>
    </row>
    <row r="540" spans="4:8" ht="13.2" x14ac:dyDescent="0.25">
      <c r="D540" s="18"/>
      <c r="E540" s="18"/>
      <c r="F540" s="25"/>
      <c r="G540" s="25"/>
      <c r="H540" s="26"/>
    </row>
    <row r="541" spans="4:8" ht="13.2" x14ac:dyDescent="0.25">
      <c r="D541" s="18"/>
      <c r="E541" s="18"/>
      <c r="F541" s="25"/>
      <c r="G541" s="25"/>
      <c r="H541" s="26"/>
    </row>
    <row r="542" spans="4:8" ht="13.2" x14ac:dyDescent="0.25">
      <c r="D542" s="18"/>
      <c r="E542" s="18"/>
      <c r="F542" s="25"/>
      <c r="G542" s="25"/>
      <c r="H542" s="26"/>
    </row>
    <row r="543" spans="4:8" ht="13.2" x14ac:dyDescent="0.25">
      <c r="D543" s="18"/>
      <c r="E543" s="18"/>
      <c r="F543" s="25"/>
      <c r="G543" s="25"/>
      <c r="H543" s="26"/>
    </row>
    <row r="544" spans="4:8" ht="13.2" x14ac:dyDescent="0.25">
      <c r="D544" s="18"/>
      <c r="E544" s="18"/>
      <c r="F544" s="25"/>
      <c r="G544" s="25"/>
      <c r="H544" s="26"/>
    </row>
    <row r="545" spans="4:8" ht="13.2" x14ac:dyDescent="0.25">
      <c r="D545" s="18"/>
      <c r="E545" s="18"/>
      <c r="F545" s="25"/>
      <c r="G545" s="25"/>
      <c r="H545" s="26"/>
    </row>
    <row r="546" spans="4:8" ht="13.2" x14ac:dyDescent="0.25">
      <c r="D546" s="18"/>
      <c r="E546" s="18"/>
      <c r="F546" s="25"/>
      <c r="G546" s="25"/>
      <c r="H546" s="26"/>
    </row>
    <row r="547" spans="4:8" ht="13.2" x14ac:dyDescent="0.25">
      <c r="D547" s="18"/>
      <c r="E547" s="18"/>
      <c r="F547" s="25"/>
      <c r="G547" s="25"/>
      <c r="H547" s="26"/>
    </row>
    <row r="548" spans="4:8" ht="13.2" x14ac:dyDescent="0.25">
      <c r="D548" s="18"/>
      <c r="E548" s="18"/>
      <c r="F548" s="25"/>
      <c r="G548" s="25"/>
      <c r="H548" s="26"/>
    </row>
    <row r="549" spans="4:8" ht="13.2" x14ac:dyDescent="0.25">
      <c r="D549" s="18"/>
      <c r="E549" s="18"/>
      <c r="F549" s="25"/>
      <c r="G549" s="25"/>
      <c r="H549" s="26"/>
    </row>
    <row r="550" spans="4:8" ht="13.2" x14ac:dyDescent="0.25">
      <c r="D550" s="18"/>
      <c r="E550" s="18"/>
      <c r="F550" s="25"/>
      <c r="G550" s="25"/>
      <c r="H550" s="26"/>
    </row>
    <row r="551" spans="4:8" ht="13.2" x14ac:dyDescent="0.25">
      <c r="D551" s="18"/>
      <c r="E551" s="18"/>
      <c r="F551" s="25"/>
      <c r="G551" s="25"/>
      <c r="H551" s="26"/>
    </row>
    <row r="552" spans="4:8" ht="13.2" x14ac:dyDescent="0.25">
      <c r="D552" s="18"/>
      <c r="E552" s="18"/>
      <c r="F552" s="25"/>
      <c r="G552" s="25"/>
      <c r="H552" s="26"/>
    </row>
    <row r="553" spans="4:8" ht="13.2" x14ac:dyDescent="0.25">
      <c r="D553" s="18"/>
      <c r="E553" s="18"/>
      <c r="F553" s="25"/>
      <c r="G553" s="25"/>
      <c r="H553" s="26"/>
    </row>
    <row r="554" spans="4:8" ht="13.2" x14ac:dyDescent="0.25">
      <c r="D554" s="18"/>
      <c r="E554" s="18"/>
      <c r="F554" s="25"/>
      <c r="G554" s="25"/>
      <c r="H554" s="26"/>
    </row>
    <row r="555" spans="4:8" ht="13.2" x14ac:dyDescent="0.25">
      <c r="D555" s="18"/>
      <c r="E555" s="18"/>
      <c r="F555" s="25"/>
      <c r="G555" s="25"/>
      <c r="H555" s="26"/>
    </row>
    <row r="556" spans="4:8" ht="13.2" x14ac:dyDescent="0.25">
      <c r="D556" s="18"/>
      <c r="E556" s="18"/>
      <c r="F556" s="25"/>
      <c r="G556" s="25"/>
      <c r="H556" s="26"/>
    </row>
    <row r="557" spans="4:8" ht="13.2" x14ac:dyDescent="0.25">
      <c r="D557" s="18"/>
      <c r="E557" s="18"/>
      <c r="F557" s="25"/>
      <c r="G557" s="25"/>
      <c r="H557" s="26"/>
    </row>
    <row r="558" spans="4:8" ht="13.2" x14ac:dyDescent="0.25">
      <c r="D558" s="18"/>
      <c r="E558" s="18"/>
      <c r="F558" s="25"/>
      <c r="G558" s="25"/>
      <c r="H558" s="26"/>
    </row>
    <row r="559" spans="4:8" ht="13.2" x14ac:dyDescent="0.25">
      <c r="D559" s="18"/>
      <c r="E559" s="18"/>
      <c r="F559" s="25"/>
      <c r="G559" s="25"/>
      <c r="H559" s="26"/>
    </row>
    <row r="560" spans="4:8" ht="13.2" x14ac:dyDescent="0.25">
      <c r="D560" s="18"/>
      <c r="E560" s="18"/>
      <c r="F560" s="25"/>
      <c r="G560" s="25"/>
      <c r="H560" s="26"/>
    </row>
    <row r="561" spans="4:8" ht="13.2" x14ac:dyDescent="0.25">
      <c r="D561" s="18"/>
      <c r="E561" s="18"/>
      <c r="F561" s="25"/>
      <c r="G561" s="25"/>
      <c r="H561" s="26"/>
    </row>
    <row r="562" spans="4:8" ht="13.2" x14ac:dyDescent="0.25">
      <c r="D562" s="18"/>
      <c r="E562" s="18"/>
      <c r="F562" s="25"/>
      <c r="G562" s="25"/>
      <c r="H562" s="26"/>
    </row>
    <row r="563" spans="4:8" ht="13.2" x14ac:dyDescent="0.25">
      <c r="D563" s="18"/>
      <c r="E563" s="18"/>
      <c r="F563" s="25"/>
      <c r="G563" s="25"/>
      <c r="H563" s="26"/>
    </row>
    <row r="564" spans="4:8" ht="13.2" x14ac:dyDescent="0.25">
      <c r="D564" s="18"/>
      <c r="E564" s="18"/>
      <c r="F564" s="25"/>
      <c r="G564" s="25"/>
      <c r="H564" s="26"/>
    </row>
    <row r="565" spans="4:8" ht="13.2" x14ac:dyDescent="0.25">
      <c r="D565" s="18"/>
      <c r="E565" s="18"/>
      <c r="F565" s="25"/>
      <c r="G565" s="25"/>
      <c r="H565" s="26"/>
    </row>
    <row r="566" spans="4:8" ht="13.2" x14ac:dyDescent="0.25">
      <c r="D566" s="18"/>
      <c r="E566" s="18"/>
      <c r="F566" s="25"/>
      <c r="G566" s="25"/>
      <c r="H566" s="26"/>
    </row>
    <row r="567" spans="4:8" ht="13.2" x14ac:dyDescent="0.25">
      <c r="D567" s="18"/>
      <c r="E567" s="18"/>
      <c r="F567" s="25"/>
      <c r="G567" s="25"/>
      <c r="H567" s="26"/>
    </row>
    <row r="568" spans="4:8" ht="13.2" x14ac:dyDescent="0.25">
      <c r="D568" s="18"/>
      <c r="E568" s="18"/>
      <c r="F568" s="25"/>
      <c r="G568" s="25"/>
      <c r="H568" s="26"/>
    </row>
    <row r="569" spans="4:8" ht="13.2" x14ac:dyDescent="0.25">
      <c r="D569" s="18"/>
      <c r="E569" s="18"/>
      <c r="F569" s="25"/>
      <c r="G569" s="25"/>
      <c r="H569" s="26"/>
    </row>
    <row r="570" spans="4:8" ht="13.2" x14ac:dyDescent="0.25">
      <c r="D570" s="18"/>
      <c r="E570" s="18"/>
      <c r="F570" s="25"/>
      <c r="G570" s="25"/>
      <c r="H570" s="26"/>
    </row>
    <row r="571" spans="4:8" ht="13.2" x14ac:dyDescent="0.25">
      <c r="D571" s="18"/>
      <c r="E571" s="18"/>
      <c r="F571" s="25"/>
      <c r="G571" s="25"/>
      <c r="H571" s="26"/>
    </row>
    <row r="572" spans="4:8" ht="13.2" x14ac:dyDescent="0.25">
      <c r="D572" s="18"/>
      <c r="E572" s="18"/>
      <c r="F572" s="25"/>
      <c r="G572" s="25"/>
      <c r="H572" s="26"/>
    </row>
    <row r="573" spans="4:8" ht="13.2" x14ac:dyDescent="0.25">
      <c r="D573" s="18"/>
      <c r="E573" s="18"/>
      <c r="F573" s="25"/>
      <c r="G573" s="25"/>
      <c r="H573" s="26"/>
    </row>
    <row r="574" spans="4:8" ht="13.2" x14ac:dyDescent="0.25">
      <c r="D574" s="18"/>
      <c r="E574" s="18"/>
      <c r="F574" s="25"/>
      <c r="G574" s="25"/>
      <c r="H574" s="26"/>
    </row>
    <row r="575" spans="4:8" ht="13.2" x14ac:dyDescent="0.25">
      <c r="D575" s="18"/>
      <c r="E575" s="18"/>
      <c r="F575" s="25"/>
      <c r="G575" s="25"/>
      <c r="H575" s="26"/>
    </row>
    <row r="576" spans="4:8" ht="13.2" x14ac:dyDescent="0.25">
      <c r="D576" s="18"/>
      <c r="E576" s="18"/>
      <c r="F576" s="25"/>
      <c r="G576" s="25"/>
      <c r="H576" s="26"/>
    </row>
    <row r="577" spans="4:8" ht="13.2" x14ac:dyDescent="0.25">
      <c r="D577" s="18"/>
      <c r="E577" s="18"/>
      <c r="F577" s="25"/>
      <c r="G577" s="25"/>
      <c r="H577" s="26"/>
    </row>
    <row r="578" spans="4:8" ht="13.2" x14ac:dyDescent="0.25">
      <c r="D578" s="18"/>
      <c r="E578" s="18"/>
      <c r="F578" s="25"/>
      <c r="G578" s="25"/>
      <c r="H578" s="26"/>
    </row>
    <row r="579" spans="4:8" ht="13.2" x14ac:dyDescent="0.25">
      <c r="D579" s="18"/>
      <c r="E579" s="18"/>
      <c r="F579" s="25"/>
      <c r="G579" s="25"/>
      <c r="H579" s="26"/>
    </row>
    <row r="580" spans="4:8" ht="13.2" x14ac:dyDescent="0.25">
      <c r="D580" s="18"/>
      <c r="E580" s="18"/>
      <c r="F580" s="25"/>
      <c r="G580" s="25"/>
      <c r="H580" s="26"/>
    </row>
    <row r="581" spans="4:8" ht="13.2" x14ac:dyDescent="0.25">
      <c r="D581" s="18"/>
      <c r="E581" s="18"/>
      <c r="F581" s="25"/>
      <c r="G581" s="25"/>
      <c r="H581" s="26"/>
    </row>
    <row r="582" spans="4:8" ht="13.2" x14ac:dyDescent="0.25">
      <c r="D582" s="18"/>
      <c r="E582" s="18"/>
      <c r="F582" s="25"/>
      <c r="G582" s="25"/>
      <c r="H582" s="26"/>
    </row>
    <row r="583" spans="4:8" ht="13.2" x14ac:dyDescent="0.25">
      <c r="D583" s="18"/>
      <c r="E583" s="18"/>
      <c r="F583" s="25"/>
      <c r="G583" s="25"/>
      <c r="H583" s="26"/>
    </row>
    <row r="584" spans="4:8" ht="13.2" x14ac:dyDescent="0.25">
      <c r="D584" s="18"/>
      <c r="E584" s="18"/>
      <c r="F584" s="25"/>
      <c r="G584" s="25"/>
      <c r="H584" s="26"/>
    </row>
    <row r="585" spans="4:8" ht="13.2" x14ac:dyDescent="0.25">
      <c r="D585" s="18"/>
      <c r="E585" s="18"/>
      <c r="F585" s="25"/>
      <c r="G585" s="25"/>
      <c r="H585" s="26"/>
    </row>
    <row r="586" spans="4:8" ht="13.2" x14ac:dyDescent="0.25">
      <c r="D586" s="18"/>
      <c r="E586" s="18"/>
      <c r="F586" s="25"/>
      <c r="G586" s="25"/>
      <c r="H586" s="26"/>
    </row>
    <row r="587" spans="4:8" ht="13.2" x14ac:dyDescent="0.25">
      <c r="D587" s="18"/>
      <c r="E587" s="18"/>
      <c r="F587" s="25"/>
      <c r="G587" s="25"/>
      <c r="H587" s="26"/>
    </row>
    <row r="588" spans="4:8" ht="13.2" x14ac:dyDescent="0.25">
      <c r="D588" s="18"/>
      <c r="E588" s="18"/>
      <c r="F588" s="25"/>
      <c r="G588" s="25"/>
      <c r="H588" s="26"/>
    </row>
    <row r="589" spans="4:8" ht="13.2" x14ac:dyDescent="0.25">
      <c r="D589" s="18"/>
      <c r="E589" s="18"/>
      <c r="F589" s="25"/>
      <c r="G589" s="25"/>
      <c r="H589" s="26"/>
    </row>
    <row r="590" spans="4:8" ht="13.2" x14ac:dyDescent="0.25">
      <c r="D590" s="18"/>
      <c r="E590" s="18"/>
      <c r="F590" s="25"/>
      <c r="G590" s="25"/>
      <c r="H590" s="26"/>
    </row>
    <row r="591" spans="4:8" ht="13.2" x14ac:dyDescent="0.25">
      <c r="D591" s="18"/>
      <c r="E591" s="18"/>
      <c r="F591" s="25"/>
      <c r="G591" s="25"/>
      <c r="H591" s="26"/>
    </row>
    <row r="592" spans="4:8" ht="13.2" x14ac:dyDescent="0.25">
      <c r="D592" s="18"/>
      <c r="E592" s="18"/>
      <c r="F592" s="25"/>
      <c r="G592" s="25"/>
      <c r="H592" s="26"/>
    </row>
    <row r="593" spans="4:8" ht="13.2" x14ac:dyDescent="0.25">
      <c r="D593" s="18"/>
      <c r="E593" s="18"/>
      <c r="F593" s="25"/>
      <c r="G593" s="25"/>
      <c r="H593" s="26"/>
    </row>
    <row r="594" spans="4:8" ht="13.2" x14ac:dyDescent="0.25">
      <c r="D594" s="18"/>
      <c r="E594" s="18"/>
      <c r="F594" s="25"/>
      <c r="G594" s="25"/>
      <c r="H594" s="26"/>
    </row>
    <row r="595" spans="4:8" ht="13.2" x14ac:dyDescent="0.25">
      <c r="D595" s="18"/>
      <c r="E595" s="18"/>
      <c r="F595" s="25"/>
      <c r="G595" s="25"/>
      <c r="H595" s="26"/>
    </row>
    <row r="596" spans="4:8" ht="13.2" x14ac:dyDescent="0.25">
      <c r="D596" s="18"/>
      <c r="E596" s="18"/>
      <c r="F596" s="25"/>
      <c r="G596" s="25"/>
      <c r="H596" s="26"/>
    </row>
    <row r="597" spans="4:8" ht="13.2" x14ac:dyDescent="0.25">
      <c r="D597" s="18"/>
      <c r="E597" s="18"/>
      <c r="F597" s="25"/>
      <c r="G597" s="25"/>
      <c r="H597" s="26"/>
    </row>
    <row r="598" spans="4:8" ht="13.2" x14ac:dyDescent="0.25">
      <c r="D598" s="18"/>
      <c r="E598" s="18"/>
      <c r="F598" s="25"/>
      <c r="G598" s="25"/>
      <c r="H598" s="26"/>
    </row>
    <row r="599" spans="4:8" ht="13.2" x14ac:dyDescent="0.25">
      <c r="D599" s="18"/>
      <c r="E599" s="18"/>
      <c r="F599" s="25"/>
      <c r="G599" s="25"/>
      <c r="H599" s="26"/>
    </row>
    <row r="600" spans="4:8" ht="13.2" x14ac:dyDescent="0.25">
      <c r="D600" s="18"/>
      <c r="E600" s="18"/>
      <c r="F600" s="25"/>
      <c r="G600" s="25"/>
      <c r="H600" s="26"/>
    </row>
    <row r="601" spans="4:8" ht="13.2" x14ac:dyDescent="0.25">
      <c r="D601" s="18"/>
      <c r="E601" s="18"/>
      <c r="F601" s="25"/>
      <c r="G601" s="25"/>
      <c r="H601" s="26"/>
    </row>
    <row r="602" spans="4:8" ht="13.2" x14ac:dyDescent="0.25">
      <c r="D602" s="18"/>
      <c r="E602" s="18"/>
      <c r="F602" s="25"/>
      <c r="G602" s="25"/>
      <c r="H602" s="26"/>
    </row>
    <row r="603" spans="4:8" ht="13.2" x14ac:dyDescent="0.25">
      <c r="D603" s="18"/>
      <c r="E603" s="18"/>
      <c r="F603" s="25"/>
      <c r="G603" s="25"/>
      <c r="H603" s="26"/>
    </row>
    <row r="604" spans="4:8" ht="13.2" x14ac:dyDescent="0.25">
      <c r="D604" s="18"/>
      <c r="E604" s="18"/>
      <c r="F604" s="25"/>
      <c r="G604" s="25"/>
      <c r="H604" s="26"/>
    </row>
    <row r="605" spans="4:8" ht="13.2" x14ac:dyDescent="0.25">
      <c r="D605" s="18"/>
      <c r="E605" s="18"/>
      <c r="F605" s="25"/>
      <c r="G605" s="25"/>
      <c r="H605" s="26"/>
    </row>
    <row r="606" spans="4:8" ht="13.2" x14ac:dyDescent="0.25">
      <c r="D606" s="18"/>
      <c r="E606" s="18"/>
      <c r="F606" s="25"/>
      <c r="G606" s="25"/>
      <c r="H606" s="26"/>
    </row>
    <row r="607" spans="4:8" ht="13.2" x14ac:dyDescent="0.25">
      <c r="D607" s="18"/>
      <c r="E607" s="18"/>
      <c r="F607" s="25"/>
      <c r="G607" s="25"/>
      <c r="H607" s="26"/>
    </row>
    <row r="608" spans="4:8" ht="13.2" x14ac:dyDescent="0.25">
      <c r="D608" s="18"/>
      <c r="E608" s="18"/>
      <c r="F608" s="25"/>
      <c r="G608" s="25"/>
      <c r="H608" s="26"/>
    </row>
    <row r="609" spans="4:8" ht="13.2" x14ac:dyDescent="0.25">
      <c r="D609" s="18"/>
      <c r="E609" s="18"/>
      <c r="F609" s="25"/>
      <c r="G609" s="25"/>
      <c r="H609" s="26"/>
    </row>
    <row r="610" spans="4:8" ht="13.2" x14ac:dyDescent="0.25">
      <c r="D610" s="18"/>
      <c r="E610" s="18"/>
      <c r="F610" s="25"/>
      <c r="G610" s="25"/>
      <c r="H610" s="26"/>
    </row>
    <row r="611" spans="4:8" ht="13.2" x14ac:dyDescent="0.25">
      <c r="D611" s="18"/>
      <c r="E611" s="18"/>
      <c r="F611" s="25"/>
      <c r="G611" s="25"/>
      <c r="H611" s="26"/>
    </row>
    <row r="612" spans="4:8" ht="13.2" x14ac:dyDescent="0.25">
      <c r="D612" s="18"/>
      <c r="E612" s="18"/>
      <c r="F612" s="25"/>
      <c r="G612" s="25"/>
      <c r="H612" s="26"/>
    </row>
    <row r="613" spans="4:8" ht="13.2" x14ac:dyDescent="0.25">
      <c r="D613" s="18"/>
      <c r="E613" s="18"/>
      <c r="F613" s="25"/>
      <c r="G613" s="25"/>
      <c r="H613" s="26"/>
    </row>
    <row r="614" spans="4:8" ht="13.2" x14ac:dyDescent="0.25">
      <c r="D614" s="18"/>
      <c r="E614" s="18"/>
      <c r="F614" s="25"/>
      <c r="G614" s="25"/>
      <c r="H614" s="26"/>
    </row>
    <row r="615" spans="4:8" ht="13.2" x14ac:dyDescent="0.25">
      <c r="D615" s="18"/>
      <c r="E615" s="18"/>
      <c r="F615" s="25"/>
      <c r="G615" s="25"/>
      <c r="H615" s="26"/>
    </row>
    <row r="616" spans="4:8" ht="13.2" x14ac:dyDescent="0.25">
      <c r="D616" s="18"/>
      <c r="E616" s="18"/>
      <c r="F616" s="25"/>
      <c r="G616" s="25"/>
      <c r="H616" s="26"/>
    </row>
    <row r="617" spans="4:8" ht="13.2" x14ac:dyDescent="0.25">
      <c r="D617" s="18"/>
      <c r="E617" s="18"/>
      <c r="F617" s="25"/>
      <c r="G617" s="25"/>
      <c r="H617" s="26"/>
    </row>
    <row r="618" spans="4:8" ht="13.2" x14ac:dyDescent="0.25">
      <c r="D618" s="18"/>
      <c r="E618" s="18"/>
      <c r="F618" s="25"/>
      <c r="G618" s="25"/>
      <c r="H618" s="26"/>
    </row>
    <row r="619" spans="4:8" ht="13.2" x14ac:dyDescent="0.25">
      <c r="D619" s="18"/>
      <c r="E619" s="18"/>
      <c r="F619" s="25"/>
      <c r="G619" s="25"/>
      <c r="H619" s="26"/>
    </row>
    <row r="620" spans="4:8" ht="13.2" x14ac:dyDescent="0.25">
      <c r="D620" s="18"/>
      <c r="E620" s="18"/>
      <c r="F620" s="25"/>
      <c r="G620" s="25"/>
      <c r="H620" s="26"/>
    </row>
    <row r="621" spans="4:8" ht="13.2" x14ac:dyDescent="0.25">
      <c r="D621" s="18"/>
      <c r="E621" s="18"/>
      <c r="F621" s="25"/>
      <c r="G621" s="25"/>
      <c r="H621" s="26"/>
    </row>
    <row r="622" spans="4:8" ht="13.2" x14ac:dyDescent="0.25">
      <c r="D622" s="18"/>
      <c r="E622" s="18"/>
      <c r="F622" s="25"/>
      <c r="G622" s="25"/>
      <c r="H622" s="26"/>
    </row>
    <row r="623" spans="4:8" ht="13.2" x14ac:dyDescent="0.25">
      <c r="D623" s="18"/>
      <c r="E623" s="18"/>
      <c r="F623" s="25"/>
      <c r="G623" s="25"/>
      <c r="H623" s="26"/>
    </row>
    <row r="624" spans="4:8" ht="13.2" x14ac:dyDescent="0.25">
      <c r="D624" s="18"/>
      <c r="E624" s="18"/>
      <c r="F624" s="25"/>
      <c r="G624" s="25"/>
      <c r="H624" s="26"/>
    </row>
    <row r="625" spans="4:8" ht="13.2" x14ac:dyDescent="0.25">
      <c r="D625" s="18"/>
      <c r="E625" s="18"/>
      <c r="F625" s="25"/>
      <c r="G625" s="25"/>
      <c r="H625" s="26"/>
    </row>
    <row r="626" spans="4:8" ht="13.2" x14ac:dyDescent="0.25">
      <c r="D626" s="18"/>
      <c r="E626" s="18"/>
      <c r="F626" s="25"/>
      <c r="G626" s="25"/>
      <c r="H626" s="26"/>
    </row>
    <row r="627" spans="4:8" ht="13.2" x14ac:dyDescent="0.25">
      <c r="D627" s="18"/>
      <c r="E627" s="18"/>
      <c r="F627" s="25"/>
      <c r="G627" s="25"/>
      <c r="H627" s="26"/>
    </row>
    <row r="628" spans="4:8" ht="13.2" x14ac:dyDescent="0.25">
      <c r="D628" s="18"/>
      <c r="E628" s="18"/>
      <c r="F628" s="25"/>
      <c r="G628" s="25"/>
      <c r="H628" s="26"/>
    </row>
    <row r="629" spans="4:8" ht="13.2" x14ac:dyDescent="0.25">
      <c r="D629" s="18"/>
      <c r="E629" s="18"/>
      <c r="F629" s="25"/>
      <c r="G629" s="25"/>
      <c r="H629" s="26"/>
    </row>
    <row r="630" spans="4:8" ht="13.2" x14ac:dyDescent="0.25">
      <c r="D630" s="18"/>
      <c r="E630" s="18"/>
      <c r="F630" s="25"/>
      <c r="G630" s="25"/>
      <c r="H630" s="26"/>
    </row>
    <row r="631" spans="4:8" ht="13.2" x14ac:dyDescent="0.25">
      <c r="D631" s="18"/>
      <c r="E631" s="18"/>
      <c r="F631" s="25"/>
      <c r="G631" s="25"/>
      <c r="H631" s="26"/>
    </row>
    <row r="632" spans="4:8" ht="13.2" x14ac:dyDescent="0.25">
      <c r="D632" s="18"/>
      <c r="E632" s="18"/>
      <c r="F632" s="25"/>
      <c r="G632" s="25"/>
      <c r="H632" s="26"/>
    </row>
    <row r="633" spans="4:8" ht="13.2" x14ac:dyDescent="0.25">
      <c r="D633" s="18"/>
      <c r="E633" s="18"/>
      <c r="F633" s="25"/>
      <c r="G633" s="25"/>
      <c r="H633" s="26"/>
    </row>
    <row r="634" spans="4:8" ht="13.2" x14ac:dyDescent="0.25">
      <c r="D634" s="18"/>
      <c r="E634" s="18"/>
      <c r="F634" s="25"/>
      <c r="G634" s="25"/>
      <c r="H634" s="26"/>
    </row>
    <row r="635" spans="4:8" ht="13.2" x14ac:dyDescent="0.25">
      <c r="D635" s="18"/>
      <c r="E635" s="18"/>
      <c r="F635" s="25"/>
      <c r="G635" s="25"/>
      <c r="H635" s="26"/>
    </row>
    <row r="636" spans="4:8" ht="13.2" x14ac:dyDescent="0.25">
      <c r="D636" s="18"/>
      <c r="E636" s="18"/>
      <c r="F636" s="25"/>
      <c r="G636" s="25"/>
      <c r="H636" s="26"/>
    </row>
    <row r="637" spans="4:8" ht="13.2" x14ac:dyDescent="0.25">
      <c r="D637" s="18"/>
      <c r="E637" s="18"/>
      <c r="F637" s="25"/>
      <c r="G637" s="25"/>
      <c r="H637" s="26"/>
    </row>
    <row r="638" spans="4:8" ht="13.2" x14ac:dyDescent="0.25">
      <c r="D638" s="18"/>
      <c r="E638" s="18"/>
      <c r="F638" s="25"/>
      <c r="G638" s="25"/>
      <c r="H638" s="26"/>
    </row>
    <row r="639" spans="4:8" ht="13.2" x14ac:dyDescent="0.25">
      <c r="D639" s="18"/>
      <c r="E639" s="18"/>
      <c r="F639" s="25"/>
      <c r="G639" s="25"/>
      <c r="H639" s="26"/>
    </row>
    <row r="640" spans="4:8" ht="13.2" x14ac:dyDescent="0.25">
      <c r="D640" s="18"/>
      <c r="E640" s="18"/>
      <c r="F640" s="25"/>
      <c r="G640" s="25"/>
      <c r="H640" s="26"/>
    </row>
    <row r="641" spans="4:8" ht="13.2" x14ac:dyDescent="0.25">
      <c r="D641" s="18"/>
      <c r="E641" s="18"/>
      <c r="F641" s="25"/>
      <c r="G641" s="25"/>
      <c r="H641" s="26"/>
    </row>
    <row r="642" spans="4:8" ht="13.2" x14ac:dyDescent="0.25">
      <c r="D642" s="18"/>
      <c r="E642" s="18"/>
      <c r="F642" s="25"/>
      <c r="G642" s="25"/>
      <c r="H642" s="26"/>
    </row>
    <row r="643" spans="4:8" ht="13.2" x14ac:dyDescent="0.25">
      <c r="D643" s="18"/>
      <c r="E643" s="18"/>
      <c r="F643" s="25"/>
      <c r="G643" s="25"/>
      <c r="H643" s="26"/>
    </row>
    <row r="644" spans="4:8" ht="13.2" x14ac:dyDescent="0.25">
      <c r="D644" s="18"/>
      <c r="E644" s="18"/>
      <c r="F644" s="25"/>
      <c r="G644" s="25"/>
      <c r="H644" s="26"/>
    </row>
    <row r="645" spans="4:8" ht="13.2" x14ac:dyDescent="0.25">
      <c r="D645" s="18"/>
      <c r="E645" s="18"/>
      <c r="F645" s="25"/>
      <c r="G645" s="25"/>
      <c r="H645" s="26"/>
    </row>
    <row r="646" spans="4:8" ht="13.2" x14ac:dyDescent="0.25">
      <c r="D646" s="18"/>
      <c r="E646" s="18"/>
      <c r="F646" s="25"/>
      <c r="G646" s="25"/>
      <c r="H646" s="26"/>
    </row>
    <row r="647" spans="4:8" ht="13.2" x14ac:dyDescent="0.25">
      <c r="D647" s="18"/>
      <c r="E647" s="18"/>
      <c r="F647" s="25"/>
      <c r="G647" s="25"/>
      <c r="H647" s="26"/>
    </row>
    <row r="648" spans="4:8" ht="13.2" x14ac:dyDescent="0.25">
      <c r="D648" s="18"/>
      <c r="E648" s="18"/>
      <c r="F648" s="25"/>
      <c r="G648" s="25"/>
      <c r="H648" s="26"/>
    </row>
    <row r="649" spans="4:8" ht="13.2" x14ac:dyDescent="0.25">
      <c r="D649" s="18"/>
      <c r="E649" s="18"/>
      <c r="F649" s="25"/>
      <c r="G649" s="25"/>
      <c r="H649" s="26"/>
    </row>
    <row r="650" spans="4:8" ht="13.2" x14ac:dyDescent="0.25">
      <c r="D650" s="18"/>
      <c r="E650" s="18"/>
      <c r="F650" s="25"/>
      <c r="G650" s="25"/>
      <c r="H650" s="26"/>
    </row>
    <row r="651" spans="4:8" ht="13.2" x14ac:dyDescent="0.25">
      <c r="D651" s="18"/>
      <c r="E651" s="18"/>
      <c r="F651" s="25"/>
      <c r="G651" s="25"/>
      <c r="H651" s="26"/>
    </row>
    <row r="652" spans="4:8" ht="13.2" x14ac:dyDescent="0.25">
      <c r="D652" s="18"/>
      <c r="E652" s="18"/>
      <c r="F652" s="25"/>
      <c r="G652" s="25"/>
      <c r="H652" s="26"/>
    </row>
    <row r="653" spans="4:8" ht="13.2" x14ac:dyDescent="0.25">
      <c r="D653" s="18"/>
      <c r="E653" s="18"/>
      <c r="F653" s="25"/>
      <c r="G653" s="25"/>
      <c r="H653" s="26"/>
    </row>
    <row r="654" spans="4:8" ht="13.2" x14ac:dyDescent="0.25">
      <c r="D654" s="18"/>
      <c r="E654" s="18"/>
      <c r="F654" s="25"/>
      <c r="G654" s="25"/>
      <c r="H654" s="26"/>
    </row>
    <row r="655" spans="4:8" ht="13.2" x14ac:dyDescent="0.25">
      <c r="D655" s="18"/>
      <c r="E655" s="18"/>
      <c r="F655" s="25"/>
      <c r="G655" s="25"/>
      <c r="H655" s="26"/>
    </row>
    <row r="656" spans="4:8" ht="13.2" x14ac:dyDescent="0.25">
      <c r="D656" s="18"/>
      <c r="E656" s="18"/>
      <c r="F656" s="25"/>
      <c r="G656" s="25"/>
      <c r="H656" s="26"/>
    </row>
    <row r="657" spans="4:8" ht="13.2" x14ac:dyDescent="0.25">
      <c r="D657" s="18"/>
      <c r="E657" s="18"/>
      <c r="F657" s="25"/>
      <c r="G657" s="25"/>
      <c r="H657" s="26"/>
    </row>
    <row r="658" spans="4:8" ht="13.2" x14ac:dyDescent="0.25">
      <c r="D658" s="18"/>
      <c r="E658" s="18"/>
      <c r="F658" s="25"/>
      <c r="G658" s="25"/>
      <c r="H658" s="26"/>
    </row>
    <row r="659" spans="4:8" ht="13.2" x14ac:dyDescent="0.25">
      <c r="D659" s="18"/>
      <c r="E659" s="18"/>
      <c r="F659" s="25"/>
      <c r="G659" s="25"/>
      <c r="H659" s="26"/>
    </row>
    <row r="660" spans="4:8" ht="13.2" x14ac:dyDescent="0.25">
      <c r="D660" s="18"/>
      <c r="E660" s="18"/>
      <c r="F660" s="25"/>
      <c r="G660" s="25"/>
      <c r="H660" s="26"/>
    </row>
    <row r="661" spans="4:8" ht="13.2" x14ac:dyDescent="0.25">
      <c r="D661" s="18"/>
      <c r="E661" s="18"/>
      <c r="F661" s="25"/>
      <c r="G661" s="25"/>
      <c r="H661" s="26"/>
    </row>
    <row r="662" spans="4:8" ht="13.2" x14ac:dyDescent="0.25">
      <c r="D662" s="18"/>
      <c r="E662" s="18"/>
      <c r="F662" s="25"/>
      <c r="G662" s="25"/>
      <c r="H662" s="26"/>
    </row>
    <row r="663" spans="4:8" ht="13.2" x14ac:dyDescent="0.25">
      <c r="D663" s="18"/>
      <c r="E663" s="18"/>
      <c r="F663" s="25"/>
      <c r="G663" s="25"/>
      <c r="H663" s="26"/>
    </row>
    <row r="664" spans="4:8" ht="13.2" x14ac:dyDescent="0.25">
      <c r="D664" s="18"/>
      <c r="E664" s="18"/>
      <c r="F664" s="25"/>
      <c r="G664" s="25"/>
      <c r="H664" s="26"/>
    </row>
    <row r="665" spans="4:8" ht="13.2" x14ac:dyDescent="0.25">
      <c r="D665" s="18"/>
      <c r="E665" s="18"/>
      <c r="F665" s="25"/>
      <c r="G665" s="25"/>
      <c r="H665" s="26"/>
    </row>
    <row r="666" spans="4:8" ht="13.2" x14ac:dyDescent="0.25">
      <c r="D666" s="18"/>
      <c r="E666" s="18"/>
      <c r="F666" s="25"/>
      <c r="G666" s="25"/>
      <c r="H666" s="26"/>
    </row>
    <row r="667" spans="4:8" ht="13.2" x14ac:dyDescent="0.25">
      <c r="D667" s="18"/>
      <c r="E667" s="18"/>
      <c r="F667" s="25"/>
      <c r="G667" s="25"/>
      <c r="H667" s="26"/>
    </row>
    <row r="668" spans="4:8" ht="13.2" x14ac:dyDescent="0.25">
      <c r="D668" s="18"/>
      <c r="E668" s="18"/>
      <c r="F668" s="25"/>
      <c r="G668" s="25"/>
      <c r="H668" s="26"/>
    </row>
    <row r="669" spans="4:8" ht="13.2" x14ac:dyDescent="0.25">
      <c r="D669" s="18"/>
      <c r="E669" s="18"/>
      <c r="F669" s="25"/>
      <c r="G669" s="25"/>
      <c r="H669" s="26"/>
    </row>
    <row r="670" spans="4:8" ht="13.2" x14ac:dyDescent="0.25">
      <c r="D670" s="18"/>
      <c r="E670" s="18"/>
      <c r="F670" s="25"/>
      <c r="G670" s="25"/>
      <c r="H670" s="26"/>
    </row>
    <row r="671" spans="4:8" ht="13.2" x14ac:dyDescent="0.25">
      <c r="D671" s="18"/>
      <c r="E671" s="18"/>
      <c r="F671" s="25"/>
      <c r="G671" s="25"/>
      <c r="H671" s="26"/>
    </row>
    <row r="672" spans="4:8" ht="13.2" x14ac:dyDescent="0.25">
      <c r="D672" s="18"/>
      <c r="E672" s="18"/>
      <c r="F672" s="25"/>
      <c r="G672" s="25"/>
      <c r="H672" s="26"/>
    </row>
    <row r="673" spans="4:8" ht="13.2" x14ac:dyDescent="0.25">
      <c r="D673" s="18"/>
      <c r="E673" s="18"/>
      <c r="F673" s="25"/>
      <c r="G673" s="25"/>
      <c r="H673" s="26"/>
    </row>
    <row r="674" spans="4:8" ht="13.2" x14ac:dyDescent="0.25">
      <c r="D674" s="18"/>
      <c r="E674" s="18"/>
      <c r="F674" s="25"/>
      <c r="G674" s="25"/>
      <c r="H674" s="26"/>
    </row>
    <row r="675" spans="4:8" ht="13.2" x14ac:dyDescent="0.25">
      <c r="D675" s="18"/>
      <c r="E675" s="18"/>
      <c r="F675" s="25"/>
      <c r="G675" s="25"/>
      <c r="H675" s="26"/>
    </row>
    <row r="676" spans="4:8" ht="13.2" x14ac:dyDescent="0.25">
      <c r="D676" s="18"/>
      <c r="E676" s="18"/>
      <c r="F676" s="25"/>
      <c r="G676" s="25"/>
      <c r="H676" s="26"/>
    </row>
    <row r="677" spans="4:8" ht="13.2" x14ac:dyDescent="0.25">
      <c r="D677" s="18"/>
      <c r="E677" s="18"/>
      <c r="F677" s="25"/>
      <c r="G677" s="25"/>
      <c r="H677" s="26"/>
    </row>
    <row r="678" spans="4:8" ht="13.2" x14ac:dyDescent="0.25">
      <c r="D678" s="18"/>
      <c r="E678" s="18"/>
      <c r="F678" s="25"/>
      <c r="G678" s="25"/>
      <c r="H678" s="26"/>
    </row>
    <row r="679" spans="4:8" ht="13.2" x14ac:dyDescent="0.25">
      <c r="D679" s="18"/>
      <c r="E679" s="18"/>
      <c r="F679" s="25"/>
      <c r="G679" s="25"/>
      <c r="H679" s="26"/>
    </row>
    <row r="680" spans="4:8" ht="13.2" x14ac:dyDescent="0.25">
      <c r="D680" s="18"/>
      <c r="E680" s="18"/>
      <c r="F680" s="25"/>
      <c r="G680" s="25"/>
      <c r="H680" s="26"/>
    </row>
    <row r="681" spans="4:8" ht="13.2" x14ac:dyDescent="0.25">
      <c r="D681" s="18"/>
      <c r="E681" s="18"/>
      <c r="F681" s="25"/>
      <c r="G681" s="25"/>
      <c r="H681" s="26"/>
    </row>
    <row r="682" spans="4:8" ht="13.2" x14ac:dyDescent="0.25">
      <c r="D682" s="18"/>
      <c r="E682" s="18"/>
      <c r="F682" s="25"/>
      <c r="G682" s="25"/>
      <c r="H682" s="26"/>
    </row>
    <row r="683" spans="4:8" ht="13.2" x14ac:dyDescent="0.25">
      <c r="D683" s="18"/>
      <c r="E683" s="18"/>
      <c r="F683" s="25"/>
      <c r="G683" s="25"/>
      <c r="H683" s="26"/>
    </row>
    <row r="684" spans="4:8" ht="13.2" x14ac:dyDescent="0.25">
      <c r="D684" s="18"/>
      <c r="E684" s="18"/>
      <c r="F684" s="25"/>
      <c r="G684" s="25"/>
      <c r="H684" s="26"/>
    </row>
    <row r="685" spans="4:8" ht="13.2" x14ac:dyDescent="0.25">
      <c r="D685" s="18"/>
      <c r="E685" s="18"/>
      <c r="F685" s="25"/>
      <c r="G685" s="25"/>
      <c r="H685" s="26"/>
    </row>
    <row r="686" spans="4:8" ht="13.2" x14ac:dyDescent="0.25">
      <c r="D686" s="18"/>
      <c r="E686" s="18"/>
      <c r="F686" s="25"/>
      <c r="G686" s="25"/>
      <c r="H686" s="26"/>
    </row>
    <row r="687" spans="4:8" ht="13.2" x14ac:dyDescent="0.25">
      <c r="D687" s="18"/>
      <c r="E687" s="18"/>
      <c r="F687" s="25"/>
      <c r="G687" s="25"/>
      <c r="H687" s="26"/>
    </row>
    <row r="688" spans="4:8" ht="13.2" x14ac:dyDescent="0.25">
      <c r="D688" s="18"/>
      <c r="E688" s="18"/>
      <c r="F688" s="25"/>
      <c r="G688" s="25"/>
      <c r="H688" s="26"/>
    </row>
    <row r="689" spans="4:8" ht="13.2" x14ac:dyDescent="0.25">
      <c r="D689" s="18"/>
      <c r="E689" s="18"/>
      <c r="F689" s="25"/>
      <c r="G689" s="25"/>
      <c r="H689" s="26"/>
    </row>
    <row r="690" spans="4:8" ht="13.2" x14ac:dyDescent="0.25">
      <c r="D690" s="18"/>
      <c r="E690" s="18"/>
      <c r="F690" s="25"/>
      <c r="G690" s="25"/>
      <c r="H690" s="26"/>
    </row>
    <row r="691" spans="4:8" ht="13.2" x14ac:dyDescent="0.25">
      <c r="D691" s="18"/>
      <c r="E691" s="18"/>
      <c r="F691" s="25"/>
      <c r="G691" s="25"/>
      <c r="H691" s="26"/>
    </row>
    <row r="692" spans="4:8" ht="13.2" x14ac:dyDescent="0.25">
      <c r="D692" s="18"/>
      <c r="E692" s="18"/>
      <c r="F692" s="25"/>
      <c r="G692" s="25"/>
      <c r="H692" s="26"/>
    </row>
    <row r="693" spans="4:8" ht="13.2" x14ac:dyDescent="0.25">
      <c r="D693" s="18"/>
      <c r="E693" s="18"/>
      <c r="F693" s="25"/>
      <c r="G693" s="25"/>
      <c r="H693" s="26"/>
    </row>
    <row r="694" spans="4:8" ht="13.2" x14ac:dyDescent="0.25">
      <c r="D694" s="18"/>
      <c r="E694" s="18"/>
      <c r="F694" s="25"/>
      <c r="G694" s="25"/>
      <c r="H694" s="26"/>
    </row>
    <row r="695" spans="4:8" ht="13.2" x14ac:dyDescent="0.25">
      <c r="D695" s="18"/>
      <c r="E695" s="18"/>
      <c r="F695" s="25"/>
      <c r="G695" s="25"/>
      <c r="H695" s="26"/>
    </row>
    <row r="696" spans="4:8" ht="13.2" x14ac:dyDescent="0.25">
      <c r="D696" s="18"/>
      <c r="E696" s="18"/>
      <c r="F696" s="25"/>
      <c r="G696" s="25"/>
      <c r="H696" s="26"/>
    </row>
    <row r="697" spans="4:8" ht="13.2" x14ac:dyDescent="0.25">
      <c r="D697" s="18"/>
      <c r="E697" s="18"/>
      <c r="F697" s="25"/>
      <c r="G697" s="25"/>
      <c r="H697" s="26"/>
    </row>
    <row r="698" spans="4:8" ht="13.2" x14ac:dyDescent="0.25">
      <c r="D698" s="18"/>
      <c r="E698" s="18"/>
      <c r="F698" s="25"/>
      <c r="G698" s="25"/>
      <c r="H698" s="26"/>
    </row>
    <row r="699" spans="4:8" ht="13.2" x14ac:dyDescent="0.25">
      <c r="D699" s="18"/>
      <c r="E699" s="18"/>
      <c r="F699" s="25"/>
      <c r="G699" s="25"/>
      <c r="H699" s="26"/>
    </row>
    <row r="700" spans="4:8" ht="13.2" x14ac:dyDescent="0.25">
      <c r="D700" s="18"/>
      <c r="E700" s="18"/>
      <c r="F700" s="25"/>
      <c r="G700" s="25"/>
      <c r="H700" s="26"/>
    </row>
    <row r="701" spans="4:8" ht="13.2" x14ac:dyDescent="0.25">
      <c r="D701" s="18"/>
      <c r="E701" s="18"/>
      <c r="F701" s="25"/>
      <c r="G701" s="25"/>
      <c r="H701" s="26"/>
    </row>
    <row r="702" spans="4:8" ht="13.2" x14ac:dyDescent="0.25">
      <c r="D702" s="18"/>
      <c r="E702" s="18"/>
      <c r="F702" s="25"/>
      <c r="G702" s="25"/>
      <c r="H702" s="26"/>
    </row>
    <row r="703" spans="4:8" ht="13.2" x14ac:dyDescent="0.25">
      <c r="D703" s="18"/>
      <c r="E703" s="18"/>
      <c r="F703" s="25"/>
      <c r="G703" s="25"/>
      <c r="H703" s="26"/>
    </row>
    <row r="704" spans="4:8" ht="13.2" x14ac:dyDescent="0.25">
      <c r="D704" s="18"/>
      <c r="E704" s="18"/>
      <c r="F704" s="25"/>
      <c r="G704" s="25"/>
      <c r="H704" s="26"/>
    </row>
    <row r="705" spans="4:8" ht="13.2" x14ac:dyDescent="0.25">
      <c r="D705" s="18"/>
      <c r="E705" s="18"/>
      <c r="F705" s="25"/>
      <c r="G705" s="25"/>
      <c r="H705" s="26"/>
    </row>
    <row r="706" spans="4:8" ht="13.2" x14ac:dyDescent="0.25">
      <c r="D706" s="18"/>
      <c r="E706" s="18"/>
      <c r="F706" s="25"/>
      <c r="G706" s="25"/>
      <c r="H706" s="26"/>
    </row>
    <row r="707" spans="4:8" ht="13.2" x14ac:dyDescent="0.25">
      <c r="D707" s="18"/>
      <c r="E707" s="18"/>
      <c r="F707" s="25"/>
      <c r="G707" s="25"/>
      <c r="H707" s="26"/>
    </row>
    <row r="708" spans="4:8" ht="13.2" x14ac:dyDescent="0.25">
      <c r="D708" s="18"/>
      <c r="E708" s="18"/>
      <c r="F708" s="25"/>
      <c r="G708" s="25"/>
      <c r="H708" s="26"/>
    </row>
    <row r="709" spans="4:8" ht="13.2" x14ac:dyDescent="0.25">
      <c r="D709" s="18"/>
      <c r="E709" s="18"/>
      <c r="F709" s="25"/>
      <c r="G709" s="25"/>
      <c r="H709" s="26"/>
    </row>
    <row r="710" spans="4:8" ht="13.2" x14ac:dyDescent="0.25">
      <c r="D710" s="18"/>
      <c r="E710" s="18"/>
      <c r="F710" s="25"/>
      <c r="G710" s="25"/>
      <c r="H710" s="26"/>
    </row>
    <row r="711" spans="4:8" ht="13.2" x14ac:dyDescent="0.25">
      <c r="D711" s="18"/>
      <c r="E711" s="18"/>
      <c r="F711" s="25"/>
      <c r="G711" s="25"/>
      <c r="H711" s="26"/>
    </row>
    <row r="712" spans="4:8" ht="13.2" x14ac:dyDescent="0.25">
      <c r="D712" s="18"/>
      <c r="E712" s="18"/>
      <c r="F712" s="25"/>
      <c r="G712" s="25"/>
      <c r="H712" s="26"/>
    </row>
    <row r="713" spans="4:8" ht="13.2" x14ac:dyDescent="0.25">
      <c r="D713" s="18"/>
      <c r="E713" s="18"/>
      <c r="F713" s="25"/>
      <c r="G713" s="25"/>
      <c r="H713" s="26"/>
    </row>
    <row r="714" spans="4:8" ht="13.2" x14ac:dyDescent="0.25">
      <c r="D714" s="18"/>
      <c r="E714" s="18"/>
      <c r="F714" s="25"/>
      <c r="G714" s="25"/>
      <c r="H714" s="26"/>
    </row>
    <row r="715" spans="4:8" ht="13.2" x14ac:dyDescent="0.25">
      <c r="D715" s="18"/>
      <c r="E715" s="18"/>
      <c r="F715" s="25"/>
      <c r="G715" s="25"/>
      <c r="H715" s="26"/>
    </row>
    <row r="716" spans="4:8" ht="13.2" x14ac:dyDescent="0.25">
      <c r="D716" s="18"/>
      <c r="E716" s="18"/>
      <c r="F716" s="25"/>
      <c r="G716" s="25"/>
      <c r="H716" s="26"/>
    </row>
    <row r="717" spans="4:8" ht="13.2" x14ac:dyDescent="0.25">
      <c r="D717" s="18"/>
      <c r="E717" s="18"/>
      <c r="F717" s="25"/>
      <c r="G717" s="25"/>
      <c r="H717" s="26"/>
    </row>
    <row r="718" spans="4:8" ht="13.2" x14ac:dyDescent="0.25">
      <c r="D718" s="18"/>
      <c r="E718" s="18"/>
      <c r="F718" s="25"/>
      <c r="G718" s="25"/>
      <c r="H718" s="26"/>
    </row>
    <row r="719" spans="4:8" ht="13.2" x14ac:dyDescent="0.25">
      <c r="D719" s="18"/>
      <c r="E719" s="18"/>
      <c r="F719" s="25"/>
      <c r="G719" s="25"/>
      <c r="H719" s="26"/>
    </row>
    <row r="720" spans="4:8" ht="13.2" x14ac:dyDescent="0.25">
      <c r="D720" s="18"/>
      <c r="E720" s="18"/>
      <c r="F720" s="25"/>
      <c r="G720" s="25"/>
      <c r="H720" s="26"/>
    </row>
    <row r="721" spans="4:8" ht="13.2" x14ac:dyDescent="0.25">
      <c r="D721" s="18"/>
      <c r="E721" s="18"/>
      <c r="F721" s="25"/>
      <c r="G721" s="25"/>
      <c r="H721" s="26"/>
    </row>
    <row r="722" spans="4:8" ht="13.2" x14ac:dyDescent="0.25">
      <c r="D722" s="18"/>
      <c r="E722" s="18"/>
      <c r="F722" s="25"/>
      <c r="G722" s="25"/>
      <c r="H722" s="26"/>
    </row>
    <row r="723" spans="4:8" ht="13.2" x14ac:dyDescent="0.25">
      <c r="D723" s="18"/>
      <c r="E723" s="18"/>
      <c r="F723" s="25"/>
      <c r="G723" s="25"/>
      <c r="H723" s="26"/>
    </row>
    <row r="724" spans="4:8" ht="13.2" x14ac:dyDescent="0.25">
      <c r="D724" s="18"/>
      <c r="E724" s="18"/>
      <c r="F724" s="25"/>
      <c r="G724" s="25"/>
      <c r="H724" s="26"/>
    </row>
    <row r="725" spans="4:8" ht="13.2" x14ac:dyDescent="0.25">
      <c r="D725" s="18"/>
      <c r="E725" s="18"/>
      <c r="F725" s="25"/>
      <c r="G725" s="25"/>
      <c r="H725" s="26"/>
    </row>
    <row r="726" spans="4:8" ht="13.2" x14ac:dyDescent="0.25">
      <c r="D726" s="18"/>
      <c r="E726" s="18"/>
      <c r="F726" s="25"/>
      <c r="G726" s="25"/>
      <c r="H726" s="26"/>
    </row>
    <row r="727" spans="4:8" ht="13.2" x14ac:dyDescent="0.25">
      <c r="D727" s="18"/>
      <c r="E727" s="18"/>
      <c r="F727" s="25"/>
      <c r="G727" s="25"/>
      <c r="H727" s="26"/>
    </row>
    <row r="728" spans="4:8" ht="13.2" x14ac:dyDescent="0.25">
      <c r="D728" s="18"/>
      <c r="E728" s="18"/>
      <c r="F728" s="25"/>
      <c r="G728" s="25"/>
      <c r="H728" s="26"/>
    </row>
    <row r="729" spans="4:8" ht="13.2" x14ac:dyDescent="0.25">
      <c r="D729" s="18"/>
      <c r="E729" s="18"/>
      <c r="F729" s="25"/>
      <c r="G729" s="25"/>
      <c r="H729" s="26"/>
    </row>
    <row r="730" spans="4:8" ht="13.2" x14ac:dyDescent="0.25">
      <c r="D730" s="18"/>
      <c r="E730" s="18"/>
      <c r="F730" s="25"/>
      <c r="G730" s="25"/>
      <c r="H730" s="26"/>
    </row>
    <row r="731" spans="4:8" ht="13.2" x14ac:dyDescent="0.25">
      <c r="D731" s="18"/>
      <c r="E731" s="18"/>
      <c r="F731" s="25"/>
      <c r="G731" s="25"/>
      <c r="H731" s="26"/>
    </row>
    <row r="732" spans="4:8" ht="13.2" x14ac:dyDescent="0.25">
      <c r="D732" s="18"/>
      <c r="E732" s="18"/>
      <c r="F732" s="25"/>
      <c r="G732" s="25"/>
      <c r="H732" s="26"/>
    </row>
    <row r="733" spans="4:8" ht="13.2" x14ac:dyDescent="0.25">
      <c r="D733" s="18"/>
      <c r="E733" s="18"/>
      <c r="F733" s="25"/>
      <c r="G733" s="25"/>
      <c r="H733" s="26"/>
    </row>
    <row r="734" spans="4:8" ht="13.2" x14ac:dyDescent="0.25">
      <c r="D734" s="18"/>
      <c r="E734" s="18"/>
      <c r="F734" s="25"/>
      <c r="G734" s="25"/>
      <c r="H734" s="26"/>
    </row>
    <row r="735" spans="4:8" ht="13.2" x14ac:dyDescent="0.25">
      <c r="D735" s="18"/>
      <c r="E735" s="18"/>
      <c r="F735" s="25"/>
      <c r="G735" s="25"/>
      <c r="H735" s="26"/>
    </row>
    <row r="736" spans="4:8" ht="13.2" x14ac:dyDescent="0.25">
      <c r="D736" s="18"/>
      <c r="E736" s="18"/>
      <c r="F736" s="25"/>
      <c r="G736" s="25"/>
      <c r="H736" s="26"/>
    </row>
    <row r="737" spans="4:8" ht="13.2" x14ac:dyDescent="0.25">
      <c r="D737" s="18"/>
      <c r="E737" s="18"/>
      <c r="F737" s="25"/>
      <c r="G737" s="25"/>
      <c r="H737" s="26"/>
    </row>
    <row r="738" spans="4:8" ht="13.2" x14ac:dyDescent="0.25">
      <c r="D738" s="18"/>
      <c r="E738" s="18"/>
      <c r="F738" s="25"/>
      <c r="G738" s="25"/>
      <c r="H738" s="26"/>
    </row>
    <row r="739" spans="4:8" ht="13.2" x14ac:dyDescent="0.25">
      <c r="D739" s="18"/>
      <c r="E739" s="18"/>
      <c r="F739" s="25"/>
      <c r="G739" s="25"/>
      <c r="H739" s="26"/>
    </row>
    <row r="740" spans="4:8" ht="13.2" x14ac:dyDescent="0.25">
      <c r="D740" s="18"/>
      <c r="E740" s="18"/>
      <c r="F740" s="25"/>
      <c r="G740" s="25"/>
      <c r="H740" s="26"/>
    </row>
    <row r="741" spans="4:8" ht="13.2" x14ac:dyDescent="0.25">
      <c r="D741" s="18"/>
      <c r="E741" s="18"/>
      <c r="F741" s="25"/>
      <c r="G741" s="25"/>
      <c r="H741" s="26"/>
    </row>
    <row r="742" spans="4:8" ht="13.2" x14ac:dyDescent="0.25">
      <c r="D742" s="18"/>
      <c r="E742" s="18"/>
      <c r="F742" s="25"/>
      <c r="G742" s="25"/>
      <c r="H742" s="26"/>
    </row>
    <row r="743" spans="4:8" ht="13.2" x14ac:dyDescent="0.25">
      <c r="D743" s="18"/>
      <c r="E743" s="18"/>
      <c r="F743" s="25"/>
      <c r="G743" s="25"/>
      <c r="H743" s="26"/>
    </row>
    <row r="744" spans="4:8" ht="13.2" x14ac:dyDescent="0.25">
      <c r="D744" s="18"/>
      <c r="E744" s="18"/>
      <c r="F744" s="25"/>
      <c r="G744" s="25"/>
      <c r="H744" s="26"/>
    </row>
    <row r="745" spans="4:8" ht="13.2" x14ac:dyDescent="0.25">
      <c r="D745" s="18"/>
      <c r="E745" s="18"/>
      <c r="F745" s="25"/>
      <c r="G745" s="25"/>
      <c r="H745" s="26"/>
    </row>
    <row r="746" spans="4:8" ht="13.2" x14ac:dyDescent="0.25">
      <c r="D746" s="18"/>
      <c r="E746" s="18"/>
      <c r="F746" s="25"/>
      <c r="G746" s="25"/>
      <c r="H746" s="26"/>
    </row>
    <row r="747" spans="4:8" ht="13.2" x14ac:dyDescent="0.25">
      <c r="D747" s="18"/>
      <c r="E747" s="18"/>
      <c r="F747" s="25"/>
      <c r="G747" s="25"/>
      <c r="H747" s="26"/>
    </row>
    <row r="748" spans="4:8" ht="13.2" x14ac:dyDescent="0.25">
      <c r="D748" s="18"/>
      <c r="E748" s="18"/>
      <c r="F748" s="25"/>
      <c r="G748" s="25"/>
      <c r="H748" s="26"/>
    </row>
    <row r="749" spans="4:8" ht="13.2" x14ac:dyDescent="0.25">
      <c r="D749" s="18"/>
      <c r="E749" s="18"/>
      <c r="F749" s="25"/>
      <c r="G749" s="25"/>
      <c r="H749" s="26"/>
    </row>
    <row r="750" spans="4:8" ht="13.2" x14ac:dyDescent="0.25">
      <c r="D750" s="18"/>
      <c r="E750" s="18"/>
      <c r="F750" s="25"/>
      <c r="G750" s="25"/>
      <c r="H750" s="26"/>
    </row>
    <row r="751" spans="4:8" ht="13.2" x14ac:dyDescent="0.25">
      <c r="D751" s="18"/>
      <c r="E751" s="18"/>
      <c r="F751" s="25"/>
      <c r="G751" s="25"/>
      <c r="H751" s="26"/>
    </row>
    <row r="752" spans="4:8" ht="13.2" x14ac:dyDescent="0.25">
      <c r="D752" s="18"/>
      <c r="E752" s="18"/>
      <c r="F752" s="25"/>
      <c r="G752" s="25"/>
      <c r="H752" s="26"/>
    </row>
    <row r="753" spans="4:8" ht="13.2" x14ac:dyDescent="0.25">
      <c r="D753" s="18"/>
      <c r="E753" s="18"/>
      <c r="F753" s="25"/>
      <c r="G753" s="25"/>
      <c r="H753" s="26"/>
    </row>
    <row r="754" spans="4:8" ht="13.2" x14ac:dyDescent="0.25">
      <c r="D754" s="18"/>
      <c r="E754" s="18"/>
      <c r="F754" s="25"/>
      <c r="G754" s="25"/>
      <c r="H754" s="26"/>
    </row>
    <row r="755" spans="4:8" ht="13.2" x14ac:dyDescent="0.25">
      <c r="D755" s="18"/>
      <c r="E755" s="18"/>
      <c r="F755" s="25"/>
      <c r="G755" s="25"/>
      <c r="H755" s="26"/>
    </row>
    <row r="756" spans="4:8" ht="13.2" x14ac:dyDescent="0.25">
      <c r="D756" s="18"/>
      <c r="E756" s="18"/>
      <c r="F756" s="25"/>
      <c r="G756" s="25"/>
      <c r="H756" s="26"/>
    </row>
    <row r="757" spans="4:8" ht="13.2" x14ac:dyDescent="0.25">
      <c r="D757" s="18"/>
      <c r="E757" s="18"/>
      <c r="F757" s="25"/>
      <c r="G757" s="25"/>
      <c r="H757" s="26"/>
    </row>
    <row r="758" spans="4:8" ht="13.2" x14ac:dyDescent="0.25">
      <c r="D758" s="18"/>
      <c r="E758" s="18"/>
      <c r="F758" s="25"/>
      <c r="G758" s="25"/>
      <c r="H758" s="26"/>
    </row>
    <row r="759" spans="4:8" ht="13.2" x14ac:dyDescent="0.25">
      <c r="D759" s="18"/>
      <c r="E759" s="18"/>
      <c r="F759" s="25"/>
      <c r="G759" s="25"/>
      <c r="H759" s="26"/>
    </row>
    <row r="760" spans="4:8" ht="13.2" x14ac:dyDescent="0.25">
      <c r="D760" s="18"/>
      <c r="E760" s="18"/>
      <c r="F760" s="25"/>
      <c r="G760" s="25"/>
      <c r="H760" s="26"/>
    </row>
    <row r="761" spans="4:8" ht="13.2" x14ac:dyDescent="0.25">
      <c r="D761" s="18"/>
      <c r="E761" s="18"/>
      <c r="F761" s="25"/>
      <c r="G761" s="25"/>
      <c r="H761" s="26"/>
    </row>
    <row r="762" spans="4:8" ht="13.2" x14ac:dyDescent="0.25">
      <c r="D762" s="18"/>
      <c r="E762" s="18"/>
      <c r="F762" s="25"/>
      <c r="G762" s="25"/>
      <c r="H762" s="26"/>
    </row>
    <row r="763" spans="4:8" ht="13.2" x14ac:dyDescent="0.25">
      <c r="D763" s="18"/>
      <c r="E763" s="18"/>
      <c r="F763" s="25"/>
      <c r="G763" s="25"/>
      <c r="H763" s="26"/>
    </row>
    <row r="764" spans="4:8" ht="13.2" x14ac:dyDescent="0.25">
      <c r="D764" s="18"/>
      <c r="E764" s="18"/>
      <c r="F764" s="25"/>
      <c r="G764" s="25"/>
      <c r="H764" s="26"/>
    </row>
    <row r="765" spans="4:8" ht="13.2" x14ac:dyDescent="0.25">
      <c r="D765" s="18"/>
      <c r="E765" s="18"/>
      <c r="F765" s="25"/>
      <c r="G765" s="25"/>
      <c r="H765" s="26"/>
    </row>
    <row r="766" spans="4:8" ht="13.2" x14ac:dyDescent="0.25">
      <c r="D766" s="18"/>
      <c r="E766" s="18"/>
      <c r="F766" s="25"/>
      <c r="G766" s="25"/>
      <c r="H766" s="26"/>
    </row>
    <row r="767" spans="4:8" ht="13.2" x14ac:dyDescent="0.25">
      <c r="D767" s="18"/>
      <c r="E767" s="18"/>
      <c r="F767" s="25"/>
      <c r="G767" s="25"/>
      <c r="H767" s="26"/>
    </row>
    <row r="768" spans="4:8" ht="13.2" x14ac:dyDescent="0.25">
      <c r="D768" s="18"/>
      <c r="E768" s="18"/>
      <c r="F768" s="25"/>
      <c r="G768" s="25"/>
      <c r="H768" s="26"/>
    </row>
    <row r="769" spans="4:8" ht="13.2" x14ac:dyDescent="0.25">
      <c r="D769" s="18"/>
      <c r="E769" s="18"/>
      <c r="F769" s="25"/>
      <c r="G769" s="25"/>
      <c r="H769" s="26"/>
    </row>
    <row r="770" spans="4:8" ht="13.2" x14ac:dyDescent="0.25">
      <c r="D770" s="18"/>
      <c r="E770" s="18"/>
      <c r="F770" s="25"/>
      <c r="G770" s="25"/>
      <c r="H770" s="26"/>
    </row>
    <row r="771" spans="4:8" ht="13.2" x14ac:dyDescent="0.25">
      <c r="D771" s="18"/>
      <c r="E771" s="18"/>
      <c r="F771" s="25"/>
      <c r="G771" s="25"/>
      <c r="H771" s="26"/>
    </row>
    <row r="772" spans="4:8" ht="13.2" x14ac:dyDescent="0.25">
      <c r="D772" s="18"/>
      <c r="E772" s="18"/>
      <c r="F772" s="25"/>
      <c r="G772" s="25"/>
      <c r="H772" s="26"/>
    </row>
    <row r="773" spans="4:8" ht="13.2" x14ac:dyDescent="0.25">
      <c r="D773" s="18"/>
      <c r="E773" s="18"/>
      <c r="F773" s="25"/>
      <c r="G773" s="25"/>
      <c r="H773" s="26"/>
    </row>
    <row r="774" spans="4:8" ht="13.2" x14ac:dyDescent="0.25">
      <c r="D774" s="18"/>
      <c r="E774" s="18"/>
      <c r="F774" s="25"/>
      <c r="G774" s="25"/>
      <c r="H774" s="26"/>
    </row>
    <row r="775" spans="4:8" ht="13.2" x14ac:dyDescent="0.25">
      <c r="D775" s="18"/>
      <c r="E775" s="18"/>
      <c r="F775" s="25"/>
      <c r="G775" s="25"/>
      <c r="H775" s="26"/>
    </row>
    <row r="776" spans="4:8" ht="13.2" x14ac:dyDescent="0.25">
      <c r="D776" s="18"/>
      <c r="E776" s="18"/>
      <c r="F776" s="25"/>
      <c r="G776" s="25"/>
      <c r="H776" s="26"/>
    </row>
    <row r="777" spans="4:8" ht="13.2" x14ac:dyDescent="0.25">
      <c r="D777" s="18"/>
      <c r="E777" s="18"/>
      <c r="F777" s="25"/>
      <c r="G777" s="25"/>
      <c r="H777" s="26"/>
    </row>
    <row r="778" spans="4:8" ht="13.2" x14ac:dyDescent="0.25">
      <c r="D778" s="18"/>
      <c r="E778" s="18"/>
      <c r="F778" s="25"/>
      <c r="G778" s="25"/>
      <c r="H778" s="26"/>
    </row>
    <row r="779" spans="4:8" ht="13.2" x14ac:dyDescent="0.25">
      <c r="D779" s="18"/>
      <c r="E779" s="18"/>
      <c r="F779" s="25"/>
      <c r="G779" s="25"/>
      <c r="H779" s="26"/>
    </row>
    <row r="780" spans="4:8" ht="13.2" x14ac:dyDescent="0.25">
      <c r="D780" s="18"/>
      <c r="E780" s="18"/>
      <c r="F780" s="25"/>
      <c r="G780" s="25"/>
      <c r="H780" s="26"/>
    </row>
    <row r="781" spans="4:8" ht="13.2" x14ac:dyDescent="0.25">
      <c r="D781" s="18"/>
      <c r="E781" s="18"/>
      <c r="F781" s="25"/>
      <c r="G781" s="25"/>
      <c r="H781" s="26"/>
    </row>
    <row r="782" spans="4:8" ht="13.2" x14ac:dyDescent="0.25">
      <c r="D782" s="18"/>
      <c r="E782" s="18"/>
      <c r="F782" s="25"/>
      <c r="G782" s="25"/>
      <c r="H782" s="26"/>
    </row>
    <row r="783" spans="4:8" ht="13.2" x14ac:dyDescent="0.25">
      <c r="D783" s="18"/>
      <c r="E783" s="18"/>
      <c r="F783" s="25"/>
      <c r="G783" s="25"/>
      <c r="H783" s="26"/>
    </row>
    <row r="784" spans="4:8" ht="13.2" x14ac:dyDescent="0.25">
      <c r="D784" s="18"/>
      <c r="E784" s="18"/>
      <c r="F784" s="25"/>
      <c r="G784" s="25"/>
      <c r="H784" s="26"/>
    </row>
    <row r="785" spans="4:8" ht="13.2" x14ac:dyDescent="0.25">
      <c r="D785" s="18"/>
      <c r="E785" s="18"/>
      <c r="F785" s="25"/>
      <c r="G785" s="25"/>
      <c r="H785" s="26"/>
    </row>
    <row r="786" spans="4:8" ht="13.2" x14ac:dyDescent="0.25">
      <c r="D786" s="18"/>
      <c r="E786" s="18"/>
      <c r="F786" s="25"/>
      <c r="G786" s="25"/>
      <c r="H786" s="26"/>
    </row>
    <row r="787" spans="4:8" ht="13.2" x14ac:dyDescent="0.25">
      <c r="D787" s="18"/>
      <c r="E787" s="18"/>
      <c r="F787" s="25"/>
      <c r="G787" s="25"/>
      <c r="H787" s="26"/>
    </row>
    <row r="788" spans="4:8" ht="13.2" x14ac:dyDescent="0.25">
      <c r="D788" s="18"/>
      <c r="E788" s="18"/>
      <c r="F788" s="25"/>
      <c r="G788" s="25"/>
      <c r="H788" s="26"/>
    </row>
    <row r="789" spans="4:8" ht="13.2" x14ac:dyDescent="0.25">
      <c r="D789" s="18"/>
      <c r="E789" s="18"/>
      <c r="F789" s="25"/>
      <c r="G789" s="25"/>
      <c r="H789" s="26"/>
    </row>
    <row r="790" spans="4:8" ht="13.2" x14ac:dyDescent="0.25">
      <c r="D790" s="18"/>
      <c r="E790" s="18"/>
      <c r="F790" s="25"/>
      <c r="G790" s="25"/>
      <c r="H790" s="26"/>
    </row>
    <row r="791" spans="4:8" ht="13.2" x14ac:dyDescent="0.25">
      <c r="D791" s="18"/>
      <c r="E791" s="18"/>
      <c r="F791" s="25"/>
      <c r="G791" s="25"/>
      <c r="H791" s="26"/>
    </row>
    <row r="792" spans="4:8" ht="13.2" x14ac:dyDescent="0.25">
      <c r="D792" s="18"/>
      <c r="E792" s="18"/>
      <c r="F792" s="25"/>
      <c r="G792" s="25"/>
      <c r="H792" s="26"/>
    </row>
    <row r="793" spans="4:8" ht="13.2" x14ac:dyDescent="0.25">
      <c r="D793" s="18"/>
      <c r="E793" s="18"/>
      <c r="F793" s="25"/>
      <c r="G793" s="25"/>
      <c r="H793" s="26"/>
    </row>
    <row r="794" spans="4:8" ht="13.2" x14ac:dyDescent="0.25">
      <c r="D794" s="18"/>
      <c r="E794" s="18"/>
      <c r="F794" s="25"/>
      <c r="G794" s="25"/>
      <c r="H794" s="26"/>
    </row>
    <row r="795" spans="4:8" ht="13.2" x14ac:dyDescent="0.25">
      <c r="D795" s="18"/>
      <c r="E795" s="18"/>
      <c r="F795" s="25"/>
      <c r="G795" s="25"/>
      <c r="H795" s="26"/>
    </row>
    <row r="796" spans="4:8" ht="13.2" x14ac:dyDescent="0.25">
      <c r="D796" s="18"/>
      <c r="E796" s="18"/>
      <c r="F796" s="25"/>
      <c r="G796" s="25"/>
      <c r="H796" s="26"/>
    </row>
    <row r="797" spans="4:8" ht="13.2" x14ac:dyDescent="0.25">
      <c r="D797" s="18"/>
      <c r="E797" s="18"/>
      <c r="F797" s="25"/>
      <c r="G797" s="25"/>
      <c r="H797" s="26"/>
    </row>
    <row r="798" spans="4:8" ht="13.2" x14ac:dyDescent="0.25">
      <c r="D798" s="18"/>
      <c r="E798" s="18"/>
      <c r="F798" s="25"/>
      <c r="G798" s="25"/>
      <c r="H798" s="26"/>
    </row>
    <row r="799" spans="4:8" ht="13.2" x14ac:dyDescent="0.25">
      <c r="D799" s="18"/>
      <c r="E799" s="18"/>
      <c r="F799" s="25"/>
      <c r="G799" s="25"/>
      <c r="H799" s="26"/>
    </row>
    <row r="800" spans="4:8" ht="13.2" x14ac:dyDescent="0.25">
      <c r="D800" s="18"/>
      <c r="E800" s="18"/>
      <c r="F800" s="25"/>
      <c r="G800" s="25"/>
      <c r="H800" s="26"/>
    </row>
    <row r="801" spans="4:8" ht="13.2" x14ac:dyDescent="0.25">
      <c r="D801" s="18"/>
      <c r="E801" s="18"/>
      <c r="F801" s="25"/>
      <c r="G801" s="25"/>
      <c r="H801" s="26"/>
    </row>
    <row r="802" spans="4:8" ht="13.2" x14ac:dyDescent="0.25">
      <c r="D802" s="18"/>
      <c r="E802" s="18"/>
      <c r="F802" s="25"/>
      <c r="G802" s="25"/>
      <c r="H802" s="26"/>
    </row>
    <row r="803" spans="4:8" ht="13.2" x14ac:dyDescent="0.25">
      <c r="D803" s="18"/>
      <c r="E803" s="18"/>
      <c r="F803" s="25"/>
      <c r="G803" s="25"/>
      <c r="H803" s="26"/>
    </row>
    <row r="804" spans="4:8" ht="13.2" x14ac:dyDescent="0.25">
      <c r="D804" s="18"/>
      <c r="E804" s="18"/>
      <c r="F804" s="25"/>
      <c r="G804" s="25"/>
      <c r="H804" s="26"/>
    </row>
    <row r="805" spans="4:8" ht="13.2" x14ac:dyDescent="0.25">
      <c r="D805" s="18"/>
      <c r="E805" s="18"/>
      <c r="F805" s="25"/>
      <c r="G805" s="25"/>
      <c r="H805" s="26"/>
    </row>
    <row r="806" spans="4:8" ht="13.2" x14ac:dyDescent="0.25">
      <c r="D806" s="18"/>
      <c r="E806" s="18"/>
      <c r="F806" s="25"/>
      <c r="G806" s="25"/>
      <c r="H806" s="26"/>
    </row>
    <row r="807" spans="4:8" ht="13.2" x14ac:dyDescent="0.25">
      <c r="D807" s="18"/>
      <c r="E807" s="18"/>
      <c r="F807" s="25"/>
      <c r="G807" s="25"/>
      <c r="H807" s="26"/>
    </row>
    <row r="808" spans="4:8" ht="13.2" x14ac:dyDescent="0.25">
      <c r="D808" s="18"/>
      <c r="E808" s="18"/>
      <c r="F808" s="25"/>
      <c r="G808" s="25"/>
      <c r="H808" s="26"/>
    </row>
    <row r="809" spans="4:8" ht="13.2" x14ac:dyDescent="0.25">
      <c r="D809" s="18"/>
      <c r="E809" s="18"/>
      <c r="F809" s="25"/>
      <c r="G809" s="25"/>
      <c r="H809" s="26"/>
    </row>
    <row r="810" spans="4:8" ht="13.2" x14ac:dyDescent="0.25">
      <c r="D810" s="18"/>
      <c r="E810" s="18"/>
      <c r="F810" s="25"/>
      <c r="G810" s="25"/>
      <c r="H810" s="26"/>
    </row>
    <row r="811" spans="4:8" ht="13.2" x14ac:dyDescent="0.25">
      <c r="D811" s="18"/>
      <c r="E811" s="18"/>
      <c r="F811" s="25"/>
      <c r="G811" s="25"/>
      <c r="H811" s="26"/>
    </row>
    <row r="812" spans="4:8" ht="13.2" x14ac:dyDescent="0.25">
      <c r="D812" s="18"/>
      <c r="E812" s="18"/>
      <c r="F812" s="25"/>
      <c r="G812" s="25"/>
      <c r="H812" s="26"/>
    </row>
    <row r="813" spans="4:8" ht="13.2" x14ac:dyDescent="0.25">
      <c r="D813" s="18"/>
      <c r="E813" s="18"/>
      <c r="F813" s="25"/>
      <c r="G813" s="25"/>
      <c r="H813" s="26"/>
    </row>
    <row r="814" spans="4:8" ht="13.2" x14ac:dyDescent="0.25">
      <c r="D814" s="18"/>
      <c r="E814" s="18"/>
      <c r="F814" s="25"/>
      <c r="G814" s="25"/>
      <c r="H814" s="26"/>
    </row>
    <row r="815" spans="4:8" ht="13.2" x14ac:dyDescent="0.25">
      <c r="D815" s="18"/>
      <c r="E815" s="18"/>
      <c r="F815" s="25"/>
      <c r="G815" s="25"/>
      <c r="H815" s="26"/>
    </row>
    <row r="816" spans="4:8" ht="13.2" x14ac:dyDescent="0.25">
      <c r="D816" s="18"/>
      <c r="E816" s="18"/>
      <c r="F816" s="25"/>
      <c r="G816" s="25"/>
      <c r="H816" s="26"/>
    </row>
    <row r="817" spans="4:8" ht="13.2" x14ac:dyDescent="0.25">
      <c r="D817" s="18"/>
      <c r="E817" s="18"/>
      <c r="F817" s="25"/>
      <c r="G817" s="25"/>
      <c r="H817" s="26"/>
    </row>
    <row r="818" spans="4:8" ht="13.2" x14ac:dyDescent="0.25">
      <c r="D818" s="18"/>
      <c r="E818" s="18"/>
      <c r="F818" s="25"/>
      <c r="G818" s="25"/>
      <c r="H818" s="26"/>
    </row>
    <row r="819" spans="4:8" ht="13.2" x14ac:dyDescent="0.25">
      <c r="D819" s="18"/>
      <c r="E819" s="18"/>
      <c r="F819" s="25"/>
      <c r="G819" s="25"/>
      <c r="H819" s="26"/>
    </row>
    <row r="820" spans="4:8" ht="13.2" x14ac:dyDescent="0.25">
      <c r="D820" s="18"/>
      <c r="E820" s="18"/>
      <c r="F820" s="25"/>
      <c r="G820" s="25"/>
      <c r="H820" s="26"/>
    </row>
    <row r="821" spans="4:8" ht="13.2" x14ac:dyDescent="0.25">
      <c r="D821" s="18"/>
      <c r="E821" s="18"/>
      <c r="F821" s="25"/>
      <c r="G821" s="25"/>
      <c r="H821" s="26"/>
    </row>
    <row r="822" spans="4:8" ht="13.2" x14ac:dyDescent="0.25">
      <c r="D822" s="18"/>
      <c r="E822" s="18"/>
      <c r="F822" s="25"/>
      <c r="G822" s="25"/>
      <c r="H822" s="26"/>
    </row>
    <row r="823" spans="4:8" ht="13.2" x14ac:dyDescent="0.25">
      <c r="D823" s="18"/>
      <c r="E823" s="18"/>
      <c r="F823" s="25"/>
      <c r="G823" s="25"/>
      <c r="H823" s="26"/>
    </row>
    <row r="824" spans="4:8" ht="13.2" x14ac:dyDescent="0.25">
      <c r="D824" s="18"/>
      <c r="E824" s="18"/>
      <c r="F824" s="25"/>
      <c r="G824" s="25"/>
      <c r="H824" s="26"/>
    </row>
    <row r="825" spans="4:8" ht="13.2" x14ac:dyDescent="0.25">
      <c r="D825" s="18"/>
      <c r="E825" s="18"/>
      <c r="F825" s="25"/>
      <c r="G825" s="25"/>
      <c r="H825" s="26"/>
    </row>
    <row r="826" spans="4:8" ht="13.2" x14ac:dyDescent="0.25">
      <c r="D826" s="18"/>
      <c r="E826" s="18"/>
      <c r="F826" s="25"/>
      <c r="G826" s="25"/>
      <c r="H826" s="26"/>
    </row>
    <row r="827" spans="4:8" ht="13.2" x14ac:dyDescent="0.25">
      <c r="D827" s="18"/>
      <c r="E827" s="18"/>
      <c r="F827" s="25"/>
      <c r="G827" s="25"/>
      <c r="H827" s="26"/>
    </row>
    <row r="828" spans="4:8" ht="13.2" x14ac:dyDescent="0.25">
      <c r="D828" s="18"/>
      <c r="E828" s="18"/>
      <c r="F828" s="25"/>
      <c r="G828" s="25"/>
      <c r="H828" s="26"/>
    </row>
    <row r="829" spans="4:8" ht="13.2" x14ac:dyDescent="0.25">
      <c r="D829" s="18"/>
      <c r="E829" s="18"/>
      <c r="F829" s="25"/>
      <c r="G829" s="25"/>
      <c r="H829" s="26"/>
    </row>
    <row r="830" spans="4:8" ht="13.2" x14ac:dyDescent="0.25">
      <c r="D830" s="18"/>
      <c r="E830" s="18"/>
      <c r="F830" s="25"/>
      <c r="G830" s="25"/>
      <c r="H830" s="26"/>
    </row>
    <row r="831" spans="4:8" ht="13.2" x14ac:dyDescent="0.25">
      <c r="D831" s="18"/>
      <c r="E831" s="18"/>
      <c r="F831" s="25"/>
      <c r="G831" s="25"/>
      <c r="H831" s="26"/>
    </row>
    <row r="832" spans="4:8" ht="13.2" x14ac:dyDescent="0.25">
      <c r="D832" s="18"/>
      <c r="E832" s="18"/>
      <c r="F832" s="25"/>
      <c r="G832" s="25"/>
      <c r="H832" s="26"/>
    </row>
    <row r="833" spans="4:8" ht="13.2" x14ac:dyDescent="0.25">
      <c r="D833" s="18"/>
      <c r="E833" s="18"/>
      <c r="F833" s="25"/>
      <c r="G833" s="25"/>
      <c r="H833" s="26"/>
    </row>
    <row r="834" spans="4:8" ht="13.2" x14ac:dyDescent="0.25">
      <c r="D834" s="18"/>
      <c r="E834" s="18"/>
      <c r="F834" s="25"/>
      <c r="G834" s="25"/>
      <c r="H834" s="26"/>
    </row>
    <row r="835" spans="4:8" ht="13.2" x14ac:dyDescent="0.25">
      <c r="D835" s="18"/>
      <c r="E835" s="18"/>
      <c r="F835" s="25"/>
      <c r="G835" s="25"/>
      <c r="H835" s="26"/>
    </row>
    <row r="836" spans="4:8" ht="13.2" x14ac:dyDescent="0.25">
      <c r="D836" s="18"/>
      <c r="E836" s="18"/>
      <c r="F836" s="25"/>
      <c r="G836" s="25"/>
      <c r="H836" s="26"/>
    </row>
    <row r="837" spans="4:8" ht="13.2" x14ac:dyDescent="0.25">
      <c r="D837" s="18"/>
      <c r="E837" s="18"/>
      <c r="F837" s="25"/>
      <c r="G837" s="25"/>
      <c r="H837" s="26"/>
    </row>
    <row r="838" spans="4:8" ht="13.2" x14ac:dyDescent="0.25">
      <c r="D838" s="18"/>
      <c r="E838" s="18"/>
      <c r="F838" s="25"/>
      <c r="G838" s="25"/>
      <c r="H838" s="26"/>
    </row>
    <row r="839" spans="4:8" ht="13.2" x14ac:dyDescent="0.25">
      <c r="D839" s="18"/>
      <c r="E839" s="18"/>
      <c r="F839" s="25"/>
      <c r="G839" s="25"/>
      <c r="H839" s="26"/>
    </row>
    <row r="840" spans="4:8" ht="13.2" x14ac:dyDescent="0.25">
      <c r="D840" s="18"/>
      <c r="E840" s="18"/>
      <c r="F840" s="25"/>
      <c r="G840" s="25"/>
      <c r="H840" s="26"/>
    </row>
    <row r="841" spans="4:8" ht="13.2" x14ac:dyDescent="0.25">
      <c r="D841" s="18"/>
      <c r="E841" s="18"/>
      <c r="F841" s="25"/>
      <c r="G841" s="25"/>
      <c r="H841" s="26"/>
    </row>
    <row r="842" spans="4:8" ht="13.2" x14ac:dyDescent="0.25">
      <c r="D842" s="18"/>
      <c r="E842" s="18"/>
      <c r="F842" s="25"/>
      <c r="G842" s="25"/>
      <c r="H842" s="26"/>
    </row>
    <row r="843" spans="4:8" ht="13.2" x14ac:dyDescent="0.25">
      <c r="D843" s="18"/>
      <c r="E843" s="18"/>
      <c r="F843" s="25"/>
      <c r="G843" s="25"/>
      <c r="H843" s="26"/>
    </row>
    <row r="844" spans="4:8" ht="13.2" x14ac:dyDescent="0.25">
      <c r="D844" s="18"/>
      <c r="E844" s="18"/>
      <c r="F844" s="25"/>
      <c r="G844" s="25"/>
      <c r="H844" s="26"/>
    </row>
    <row r="845" spans="4:8" ht="13.2" x14ac:dyDescent="0.25">
      <c r="D845" s="18"/>
      <c r="E845" s="18"/>
      <c r="F845" s="25"/>
      <c r="G845" s="25"/>
      <c r="H845" s="26"/>
    </row>
    <row r="846" spans="4:8" ht="13.2" x14ac:dyDescent="0.25">
      <c r="D846" s="18"/>
      <c r="E846" s="18"/>
      <c r="F846" s="25"/>
      <c r="G846" s="25"/>
      <c r="H846" s="26"/>
    </row>
    <row r="847" spans="4:8" ht="13.2" x14ac:dyDescent="0.25">
      <c r="D847" s="18"/>
      <c r="E847" s="18"/>
      <c r="F847" s="25"/>
      <c r="G847" s="25"/>
      <c r="H847" s="26"/>
    </row>
    <row r="848" spans="4:8" ht="13.2" x14ac:dyDescent="0.25">
      <c r="D848" s="18"/>
      <c r="E848" s="18"/>
      <c r="F848" s="25"/>
      <c r="G848" s="25"/>
      <c r="H848" s="26"/>
    </row>
    <row r="849" spans="4:8" ht="13.2" x14ac:dyDescent="0.25">
      <c r="D849" s="18"/>
      <c r="E849" s="18"/>
      <c r="F849" s="25"/>
      <c r="G849" s="25"/>
      <c r="H849" s="26"/>
    </row>
    <row r="850" spans="4:8" ht="13.2" x14ac:dyDescent="0.25">
      <c r="D850" s="18"/>
      <c r="E850" s="18"/>
      <c r="F850" s="25"/>
      <c r="G850" s="25"/>
      <c r="H850" s="26"/>
    </row>
    <row r="851" spans="4:8" ht="13.2" x14ac:dyDescent="0.25">
      <c r="D851" s="18"/>
      <c r="E851" s="18"/>
      <c r="F851" s="25"/>
      <c r="G851" s="25"/>
      <c r="H851" s="26"/>
    </row>
    <row r="852" spans="4:8" ht="13.2" x14ac:dyDescent="0.25">
      <c r="D852" s="18"/>
      <c r="E852" s="18"/>
      <c r="F852" s="25"/>
      <c r="G852" s="25"/>
      <c r="H852" s="26"/>
    </row>
    <row r="853" spans="4:8" ht="13.2" x14ac:dyDescent="0.25">
      <c r="D853" s="18"/>
      <c r="E853" s="18"/>
      <c r="F853" s="25"/>
      <c r="G853" s="25"/>
      <c r="H853" s="26"/>
    </row>
    <row r="854" spans="4:8" ht="13.2" x14ac:dyDescent="0.25">
      <c r="D854" s="18"/>
      <c r="E854" s="18"/>
      <c r="F854" s="25"/>
      <c r="G854" s="25"/>
      <c r="H854" s="26"/>
    </row>
    <row r="855" spans="4:8" ht="13.2" x14ac:dyDescent="0.25">
      <c r="D855" s="18"/>
      <c r="E855" s="18"/>
      <c r="F855" s="25"/>
      <c r="G855" s="25"/>
      <c r="H855" s="26"/>
    </row>
    <row r="856" spans="4:8" ht="13.2" x14ac:dyDescent="0.25">
      <c r="D856" s="18"/>
      <c r="E856" s="18"/>
      <c r="F856" s="25"/>
      <c r="G856" s="25"/>
      <c r="H856" s="26"/>
    </row>
    <row r="857" spans="4:8" ht="13.2" x14ac:dyDescent="0.25">
      <c r="D857" s="18"/>
      <c r="E857" s="18"/>
      <c r="F857" s="25"/>
      <c r="G857" s="25"/>
      <c r="H857" s="26"/>
    </row>
    <row r="858" spans="4:8" ht="13.2" x14ac:dyDescent="0.25">
      <c r="D858" s="18"/>
      <c r="E858" s="18"/>
      <c r="F858" s="25"/>
      <c r="G858" s="25"/>
      <c r="H858" s="26"/>
    </row>
    <row r="859" spans="4:8" ht="13.2" x14ac:dyDescent="0.25">
      <c r="D859" s="18"/>
      <c r="E859" s="18"/>
      <c r="F859" s="25"/>
      <c r="G859" s="25"/>
      <c r="H859" s="26"/>
    </row>
    <row r="860" spans="4:8" ht="13.2" x14ac:dyDescent="0.25">
      <c r="D860" s="18"/>
      <c r="E860" s="18"/>
      <c r="F860" s="25"/>
      <c r="G860" s="25"/>
      <c r="H860" s="26"/>
    </row>
    <row r="861" spans="4:8" ht="13.2" x14ac:dyDescent="0.25">
      <c r="D861" s="18"/>
      <c r="E861" s="18"/>
      <c r="F861" s="25"/>
      <c r="G861" s="25"/>
      <c r="H861" s="26"/>
    </row>
    <row r="862" spans="4:8" ht="13.2" x14ac:dyDescent="0.25">
      <c r="D862" s="18"/>
      <c r="E862" s="18"/>
      <c r="F862" s="25"/>
      <c r="G862" s="25"/>
      <c r="H862" s="26"/>
    </row>
    <row r="863" spans="4:8" ht="13.2" x14ac:dyDescent="0.25">
      <c r="D863" s="18"/>
      <c r="E863" s="18"/>
      <c r="F863" s="25"/>
      <c r="G863" s="25"/>
      <c r="H863" s="26"/>
    </row>
    <row r="864" spans="4:8" ht="13.2" x14ac:dyDescent="0.25">
      <c r="D864" s="18"/>
      <c r="E864" s="18"/>
      <c r="F864" s="25"/>
      <c r="G864" s="25"/>
      <c r="H864" s="26"/>
    </row>
    <row r="865" spans="4:8" ht="13.2" x14ac:dyDescent="0.25">
      <c r="D865" s="18"/>
      <c r="E865" s="18"/>
      <c r="F865" s="25"/>
      <c r="G865" s="25"/>
      <c r="H865" s="26"/>
    </row>
    <row r="866" spans="4:8" ht="13.2" x14ac:dyDescent="0.25">
      <c r="D866" s="18"/>
      <c r="E866" s="18"/>
      <c r="F866" s="25"/>
      <c r="G866" s="25"/>
      <c r="H866" s="26"/>
    </row>
    <row r="867" spans="4:8" ht="13.2" x14ac:dyDescent="0.25">
      <c r="D867" s="18"/>
      <c r="E867" s="18"/>
      <c r="F867" s="25"/>
      <c r="G867" s="25"/>
      <c r="H867" s="26"/>
    </row>
    <row r="868" spans="4:8" ht="13.2" x14ac:dyDescent="0.25">
      <c r="D868" s="18"/>
      <c r="E868" s="18"/>
      <c r="F868" s="25"/>
      <c r="G868" s="25"/>
      <c r="H868" s="26"/>
    </row>
    <row r="869" spans="4:8" ht="13.2" x14ac:dyDescent="0.25">
      <c r="D869" s="18"/>
      <c r="E869" s="18"/>
      <c r="F869" s="25"/>
      <c r="G869" s="25"/>
      <c r="H869" s="26"/>
    </row>
    <row r="870" spans="4:8" ht="13.2" x14ac:dyDescent="0.25">
      <c r="D870" s="18"/>
      <c r="E870" s="18"/>
      <c r="F870" s="25"/>
      <c r="G870" s="25"/>
      <c r="H870" s="26"/>
    </row>
    <row r="871" spans="4:8" ht="13.2" x14ac:dyDescent="0.25">
      <c r="D871" s="18"/>
      <c r="E871" s="18"/>
      <c r="F871" s="25"/>
      <c r="G871" s="25"/>
      <c r="H871" s="26"/>
    </row>
    <row r="872" spans="4:8" ht="13.2" x14ac:dyDescent="0.25">
      <c r="D872" s="18"/>
      <c r="E872" s="18"/>
      <c r="F872" s="25"/>
      <c r="G872" s="25"/>
      <c r="H872" s="26"/>
    </row>
    <row r="873" spans="4:8" ht="13.2" x14ac:dyDescent="0.25">
      <c r="D873" s="18"/>
      <c r="E873" s="18"/>
      <c r="F873" s="25"/>
      <c r="G873" s="25"/>
      <c r="H873" s="26"/>
    </row>
    <row r="874" spans="4:8" ht="13.2" x14ac:dyDescent="0.25">
      <c r="D874" s="18"/>
      <c r="E874" s="18"/>
      <c r="F874" s="25"/>
      <c r="G874" s="25"/>
      <c r="H874" s="26"/>
    </row>
    <row r="875" spans="4:8" ht="13.2" x14ac:dyDescent="0.25">
      <c r="D875" s="18"/>
      <c r="E875" s="18"/>
      <c r="F875" s="25"/>
      <c r="G875" s="25"/>
      <c r="H875" s="26"/>
    </row>
    <row r="876" spans="4:8" ht="13.2" x14ac:dyDescent="0.25">
      <c r="D876" s="18"/>
      <c r="E876" s="18"/>
      <c r="F876" s="25"/>
      <c r="G876" s="25"/>
      <c r="H876" s="26"/>
    </row>
    <row r="877" spans="4:8" ht="13.2" x14ac:dyDescent="0.25">
      <c r="D877" s="18"/>
      <c r="E877" s="18"/>
      <c r="F877" s="25"/>
      <c r="G877" s="25"/>
      <c r="H877" s="26"/>
    </row>
    <row r="878" spans="4:8" ht="13.2" x14ac:dyDescent="0.25">
      <c r="D878" s="18"/>
      <c r="E878" s="18"/>
      <c r="F878" s="25"/>
      <c r="G878" s="25"/>
      <c r="H878" s="26"/>
    </row>
    <row r="879" spans="4:8" ht="13.2" x14ac:dyDescent="0.25">
      <c r="D879" s="18"/>
      <c r="E879" s="18"/>
      <c r="F879" s="25"/>
      <c r="G879" s="25"/>
      <c r="H879" s="26"/>
    </row>
    <row r="880" spans="4:8" ht="13.2" x14ac:dyDescent="0.25">
      <c r="D880" s="18"/>
      <c r="E880" s="18"/>
      <c r="F880" s="25"/>
      <c r="G880" s="25"/>
      <c r="H880" s="26"/>
    </row>
    <row r="881" spans="4:8" ht="13.2" x14ac:dyDescent="0.25">
      <c r="D881" s="18"/>
      <c r="E881" s="18"/>
      <c r="F881" s="25"/>
      <c r="G881" s="25"/>
      <c r="H881" s="26"/>
    </row>
    <row r="882" spans="4:8" ht="13.2" x14ac:dyDescent="0.25">
      <c r="D882" s="18"/>
      <c r="E882" s="18"/>
      <c r="F882" s="25"/>
      <c r="G882" s="25"/>
      <c r="H882" s="26"/>
    </row>
    <row r="883" spans="4:8" ht="13.2" x14ac:dyDescent="0.25">
      <c r="D883" s="18"/>
      <c r="E883" s="18"/>
      <c r="F883" s="25"/>
      <c r="G883" s="25"/>
      <c r="H883" s="26"/>
    </row>
    <row r="884" spans="4:8" ht="13.2" x14ac:dyDescent="0.25">
      <c r="D884" s="18"/>
      <c r="E884" s="18"/>
      <c r="F884" s="25"/>
      <c r="G884" s="25"/>
      <c r="H884" s="26"/>
    </row>
    <row r="885" spans="4:8" ht="13.2" x14ac:dyDescent="0.25">
      <c r="D885" s="18"/>
      <c r="E885" s="18"/>
      <c r="F885" s="25"/>
      <c r="G885" s="25"/>
      <c r="H885" s="26"/>
    </row>
    <row r="886" spans="4:8" ht="13.2" x14ac:dyDescent="0.25">
      <c r="D886" s="18"/>
      <c r="E886" s="18"/>
      <c r="F886" s="25"/>
      <c r="G886" s="25"/>
      <c r="H886" s="26"/>
    </row>
    <row r="887" spans="4:8" ht="13.2" x14ac:dyDescent="0.25">
      <c r="D887" s="18"/>
      <c r="E887" s="18"/>
      <c r="F887" s="25"/>
      <c r="G887" s="25"/>
      <c r="H887" s="26"/>
    </row>
    <row r="888" spans="4:8" ht="13.2" x14ac:dyDescent="0.25">
      <c r="D888" s="18"/>
      <c r="E888" s="18"/>
      <c r="F888" s="25"/>
      <c r="G888" s="25"/>
      <c r="H888" s="26"/>
    </row>
    <row r="889" spans="4:8" ht="13.2" x14ac:dyDescent="0.25">
      <c r="D889" s="18"/>
      <c r="E889" s="18"/>
      <c r="F889" s="25"/>
      <c r="G889" s="25"/>
      <c r="H889" s="26"/>
    </row>
    <row r="890" spans="4:8" ht="13.2" x14ac:dyDescent="0.25">
      <c r="D890" s="18"/>
      <c r="E890" s="18"/>
      <c r="F890" s="25"/>
      <c r="G890" s="25"/>
      <c r="H890" s="26"/>
    </row>
    <row r="891" spans="4:8" ht="13.2" x14ac:dyDescent="0.25">
      <c r="D891" s="18"/>
      <c r="E891" s="18"/>
      <c r="F891" s="25"/>
      <c r="G891" s="25"/>
      <c r="H891" s="26"/>
    </row>
    <row r="892" spans="4:8" ht="13.2" x14ac:dyDescent="0.25">
      <c r="D892" s="18"/>
      <c r="E892" s="18"/>
      <c r="F892" s="25"/>
      <c r="G892" s="25"/>
      <c r="H892" s="26"/>
    </row>
    <row r="893" spans="4:8" ht="13.2" x14ac:dyDescent="0.25">
      <c r="D893" s="18"/>
      <c r="E893" s="18"/>
      <c r="F893" s="25"/>
      <c r="G893" s="25"/>
      <c r="H893" s="26"/>
    </row>
    <row r="894" spans="4:8" ht="13.2" x14ac:dyDescent="0.25">
      <c r="D894" s="18"/>
      <c r="E894" s="18"/>
      <c r="F894" s="25"/>
      <c r="G894" s="25"/>
      <c r="H894" s="26"/>
    </row>
    <row r="895" spans="4:8" ht="13.2" x14ac:dyDescent="0.25">
      <c r="D895" s="18"/>
      <c r="E895" s="18"/>
      <c r="F895" s="25"/>
      <c r="G895" s="25"/>
      <c r="H895" s="26"/>
    </row>
    <row r="896" spans="4:8" ht="13.2" x14ac:dyDescent="0.25">
      <c r="D896" s="18"/>
      <c r="E896" s="18"/>
      <c r="F896" s="25"/>
      <c r="G896" s="25"/>
      <c r="H896" s="26"/>
    </row>
    <row r="897" spans="4:8" ht="13.2" x14ac:dyDescent="0.25">
      <c r="D897" s="18"/>
      <c r="E897" s="18"/>
      <c r="F897" s="25"/>
      <c r="G897" s="25"/>
      <c r="H897" s="26"/>
    </row>
    <row r="898" spans="4:8" ht="13.2" x14ac:dyDescent="0.25">
      <c r="D898" s="18"/>
      <c r="E898" s="18"/>
      <c r="F898" s="25"/>
      <c r="G898" s="25"/>
      <c r="H898" s="26"/>
    </row>
    <row r="899" spans="4:8" ht="13.2" x14ac:dyDescent="0.25">
      <c r="D899" s="18"/>
      <c r="E899" s="18"/>
      <c r="F899" s="25"/>
      <c r="G899" s="25"/>
      <c r="H899" s="26"/>
    </row>
    <row r="900" spans="4:8" ht="13.2" x14ac:dyDescent="0.25">
      <c r="D900" s="18"/>
      <c r="E900" s="18"/>
      <c r="F900" s="25"/>
      <c r="G900" s="25"/>
      <c r="H900" s="26"/>
    </row>
    <row r="901" spans="4:8" ht="13.2" x14ac:dyDescent="0.25">
      <c r="D901" s="18"/>
      <c r="E901" s="18"/>
      <c r="F901" s="25"/>
      <c r="G901" s="25"/>
      <c r="H901" s="26"/>
    </row>
    <row r="902" spans="4:8" ht="13.2" x14ac:dyDescent="0.25">
      <c r="D902" s="18"/>
      <c r="E902" s="18"/>
      <c r="F902" s="25"/>
      <c r="G902" s="25"/>
      <c r="H902" s="26"/>
    </row>
    <row r="903" spans="4:8" ht="13.2" x14ac:dyDescent="0.25">
      <c r="D903" s="18"/>
      <c r="E903" s="18"/>
      <c r="F903" s="25"/>
      <c r="G903" s="25"/>
      <c r="H903" s="26"/>
    </row>
    <row r="904" spans="4:8" ht="13.2" x14ac:dyDescent="0.25">
      <c r="D904" s="18"/>
      <c r="E904" s="18"/>
      <c r="F904" s="25"/>
      <c r="G904" s="25"/>
      <c r="H904" s="26"/>
    </row>
    <row r="905" spans="4:8" ht="13.2" x14ac:dyDescent="0.25">
      <c r="D905" s="18"/>
      <c r="E905" s="18"/>
      <c r="F905" s="25"/>
      <c r="G905" s="25"/>
      <c r="H905" s="26"/>
    </row>
    <row r="906" spans="4:8" ht="13.2" x14ac:dyDescent="0.25">
      <c r="D906" s="18"/>
      <c r="E906" s="18"/>
      <c r="F906" s="25"/>
      <c r="G906" s="25"/>
      <c r="H906" s="26"/>
    </row>
    <row r="907" spans="4:8" ht="13.2" x14ac:dyDescent="0.25">
      <c r="D907" s="18"/>
      <c r="E907" s="18"/>
      <c r="F907" s="25"/>
      <c r="G907" s="25"/>
      <c r="H907" s="26"/>
    </row>
    <row r="908" spans="4:8" ht="13.2" x14ac:dyDescent="0.25">
      <c r="D908" s="18"/>
      <c r="E908" s="18"/>
      <c r="F908" s="25"/>
      <c r="G908" s="25"/>
      <c r="H908" s="26"/>
    </row>
    <row r="909" spans="4:8" ht="13.2" x14ac:dyDescent="0.25">
      <c r="D909" s="18"/>
      <c r="E909" s="18"/>
      <c r="F909" s="25"/>
      <c r="G909" s="25"/>
      <c r="H909" s="26"/>
    </row>
    <row r="910" spans="4:8" ht="13.2" x14ac:dyDescent="0.25">
      <c r="D910" s="18"/>
      <c r="E910" s="18"/>
      <c r="F910" s="25"/>
      <c r="G910" s="25"/>
      <c r="H910" s="26"/>
    </row>
    <row r="911" spans="4:8" ht="13.2" x14ac:dyDescent="0.25">
      <c r="D911" s="18"/>
      <c r="E911" s="18"/>
      <c r="F911" s="25"/>
      <c r="G911" s="25"/>
      <c r="H911" s="26"/>
    </row>
    <row r="912" spans="4:8" ht="13.2" x14ac:dyDescent="0.25">
      <c r="D912" s="18"/>
      <c r="E912" s="18"/>
      <c r="F912" s="25"/>
      <c r="G912" s="25"/>
      <c r="H912" s="26"/>
    </row>
    <row r="913" spans="4:8" ht="13.2" x14ac:dyDescent="0.25">
      <c r="D913" s="18"/>
      <c r="E913" s="18"/>
      <c r="F913" s="25"/>
      <c r="G913" s="25"/>
      <c r="H913" s="26"/>
    </row>
    <row r="914" spans="4:8" ht="13.2" x14ac:dyDescent="0.25">
      <c r="D914" s="18"/>
      <c r="E914" s="18"/>
      <c r="F914" s="25"/>
      <c r="G914" s="25"/>
      <c r="H914" s="26"/>
    </row>
    <row r="915" spans="4:8" ht="13.2" x14ac:dyDescent="0.25">
      <c r="D915" s="18"/>
      <c r="E915" s="18"/>
      <c r="F915" s="25"/>
      <c r="G915" s="25"/>
      <c r="H915" s="26"/>
    </row>
    <row r="916" spans="4:8" ht="13.2" x14ac:dyDescent="0.25">
      <c r="D916" s="18"/>
      <c r="E916" s="18"/>
      <c r="F916" s="25"/>
      <c r="G916" s="25"/>
      <c r="H916" s="26"/>
    </row>
    <row r="917" spans="4:8" ht="13.2" x14ac:dyDescent="0.25">
      <c r="D917" s="18"/>
      <c r="E917" s="18"/>
      <c r="F917" s="25"/>
      <c r="G917" s="25"/>
      <c r="H917" s="26"/>
    </row>
    <row r="918" spans="4:8" ht="13.2" x14ac:dyDescent="0.25">
      <c r="D918" s="18"/>
      <c r="E918" s="18"/>
      <c r="F918" s="25"/>
      <c r="G918" s="25"/>
      <c r="H918" s="26"/>
    </row>
    <row r="919" spans="4:8" ht="13.2" x14ac:dyDescent="0.25">
      <c r="D919" s="18"/>
      <c r="E919" s="18"/>
      <c r="F919" s="25"/>
      <c r="G919" s="25"/>
      <c r="H919" s="26"/>
    </row>
    <row r="920" spans="4:8" ht="13.2" x14ac:dyDescent="0.25">
      <c r="D920" s="18"/>
      <c r="E920" s="18"/>
      <c r="F920" s="25"/>
      <c r="G920" s="25"/>
      <c r="H920" s="26"/>
    </row>
    <row r="921" spans="4:8" ht="13.2" x14ac:dyDescent="0.25">
      <c r="D921" s="18"/>
      <c r="E921" s="18"/>
      <c r="F921" s="25"/>
      <c r="G921" s="25"/>
      <c r="H921" s="26"/>
    </row>
    <row r="922" spans="4:8" ht="13.2" x14ac:dyDescent="0.25">
      <c r="D922" s="18"/>
      <c r="E922" s="18"/>
      <c r="F922" s="25"/>
      <c r="G922" s="25"/>
      <c r="H922" s="26"/>
    </row>
    <row r="923" spans="4:8" ht="13.2" x14ac:dyDescent="0.25">
      <c r="D923" s="18"/>
      <c r="E923" s="18"/>
      <c r="F923" s="25"/>
      <c r="G923" s="25"/>
      <c r="H923" s="26"/>
    </row>
    <row r="924" spans="4:8" ht="13.2" x14ac:dyDescent="0.25">
      <c r="D924" s="18"/>
      <c r="E924" s="18"/>
      <c r="F924" s="25"/>
      <c r="G924" s="25"/>
      <c r="H924" s="26"/>
    </row>
    <row r="925" spans="4:8" ht="13.2" x14ac:dyDescent="0.25">
      <c r="D925" s="18"/>
      <c r="E925" s="18"/>
      <c r="F925" s="25"/>
      <c r="G925" s="25"/>
      <c r="H925" s="26"/>
    </row>
    <row r="926" spans="4:8" ht="13.2" x14ac:dyDescent="0.25">
      <c r="D926" s="18"/>
      <c r="E926" s="18"/>
      <c r="F926" s="25"/>
      <c r="G926" s="25"/>
      <c r="H926" s="26"/>
    </row>
    <row r="927" spans="4:8" ht="13.2" x14ac:dyDescent="0.25">
      <c r="D927" s="18"/>
      <c r="E927" s="18"/>
      <c r="F927" s="25"/>
      <c r="G927" s="25"/>
      <c r="H927" s="26"/>
    </row>
    <row r="928" spans="4:8" ht="13.2" x14ac:dyDescent="0.25">
      <c r="D928" s="18"/>
      <c r="E928" s="18"/>
      <c r="F928" s="25"/>
      <c r="G928" s="25"/>
      <c r="H928" s="26"/>
    </row>
    <row r="929" spans="4:8" ht="13.2" x14ac:dyDescent="0.25">
      <c r="D929" s="18"/>
      <c r="E929" s="18"/>
      <c r="F929" s="25"/>
      <c r="G929" s="25"/>
      <c r="H929" s="26"/>
    </row>
    <row r="930" spans="4:8" ht="13.2" x14ac:dyDescent="0.25">
      <c r="D930" s="18"/>
      <c r="E930" s="18"/>
      <c r="F930" s="25"/>
      <c r="G930" s="25"/>
      <c r="H930" s="26"/>
    </row>
    <row r="931" spans="4:8" ht="13.2" x14ac:dyDescent="0.25">
      <c r="D931" s="18"/>
      <c r="E931" s="18"/>
      <c r="F931" s="25"/>
      <c r="G931" s="25"/>
      <c r="H931" s="26"/>
    </row>
    <row r="932" spans="4:8" ht="13.2" x14ac:dyDescent="0.25">
      <c r="D932" s="18"/>
      <c r="E932" s="18"/>
      <c r="F932" s="25"/>
      <c r="G932" s="25"/>
      <c r="H932" s="26"/>
    </row>
    <row r="933" spans="4:8" ht="13.2" x14ac:dyDescent="0.25">
      <c r="D933" s="18"/>
      <c r="E933" s="18"/>
      <c r="F933" s="25"/>
      <c r="G933" s="25"/>
      <c r="H933" s="26"/>
    </row>
    <row r="934" spans="4:8" ht="13.2" x14ac:dyDescent="0.25">
      <c r="D934" s="18"/>
      <c r="E934" s="18"/>
      <c r="F934" s="25"/>
      <c r="G934" s="25"/>
      <c r="H934" s="26"/>
    </row>
    <row r="935" spans="4:8" ht="13.2" x14ac:dyDescent="0.25">
      <c r="D935" s="18"/>
      <c r="E935" s="18"/>
      <c r="F935" s="25"/>
      <c r="G935" s="25"/>
      <c r="H935" s="26"/>
    </row>
    <row r="936" spans="4:8" ht="13.2" x14ac:dyDescent="0.25">
      <c r="D936" s="18"/>
      <c r="E936" s="18"/>
      <c r="F936" s="25"/>
      <c r="G936" s="25"/>
      <c r="H936" s="26"/>
    </row>
    <row r="937" spans="4:8" ht="13.2" x14ac:dyDescent="0.25">
      <c r="D937" s="18"/>
      <c r="E937" s="18"/>
      <c r="F937" s="25"/>
      <c r="G937" s="25"/>
      <c r="H937" s="26"/>
    </row>
    <row r="938" spans="4:8" ht="13.2" x14ac:dyDescent="0.25">
      <c r="D938" s="18"/>
      <c r="E938" s="18"/>
      <c r="F938" s="25"/>
      <c r="G938" s="25"/>
      <c r="H938" s="26"/>
    </row>
    <row r="939" spans="4:8" ht="13.2" x14ac:dyDescent="0.25">
      <c r="D939" s="18"/>
      <c r="E939" s="18"/>
      <c r="F939" s="25"/>
      <c r="G939" s="25"/>
      <c r="H939" s="26"/>
    </row>
    <row r="940" spans="4:8" ht="13.2" x14ac:dyDescent="0.25">
      <c r="D940" s="18"/>
      <c r="E940" s="18"/>
      <c r="F940" s="25"/>
      <c r="G940" s="25"/>
      <c r="H940" s="26"/>
    </row>
    <row r="941" spans="4:8" ht="13.2" x14ac:dyDescent="0.25">
      <c r="D941" s="18"/>
      <c r="E941" s="18"/>
      <c r="F941" s="25"/>
      <c r="G941" s="25"/>
      <c r="H941" s="26"/>
    </row>
    <row r="942" spans="4:8" ht="13.2" x14ac:dyDescent="0.25">
      <c r="D942" s="18"/>
      <c r="E942" s="18"/>
      <c r="F942" s="25"/>
      <c r="G942" s="25"/>
      <c r="H942" s="26"/>
    </row>
    <row r="943" spans="4:8" ht="13.2" x14ac:dyDescent="0.25">
      <c r="D943" s="18"/>
      <c r="E943" s="18"/>
      <c r="F943" s="25"/>
      <c r="G943" s="25"/>
      <c r="H943" s="26"/>
    </row>
    <row r="944" spans="4:8" ht="13.2" x14ac:dyDescent="0.25">
      <c r="D944" s="18"/>
      <c r="E944" s="18"/>
      <c r="F944" s="25"/>
      <c r="G944" s="25"/>
      <c r="H944" s="26"/>
    </row>
    <row r="945" spans="4:8" ht="13.2" x14ac:dyDescent="0.25">
      <c r="D945" s="18"/>
      <c r="E945" s="18"/>
      <c r="F945" s="25"/>
      <c r="G945" s="25"/>
      <c r="H945" s="26"/>
    </row>
    <row r="946" spans="4:8" ht="13.2" x14ac:dyDescent="0.25">
      <c r="D946" s="18"/>
      <c r="E946" s="18"/>
      <c r="F946" s="25"/>
      <c r="G946" s="25"/>
      <c r="H946" s="26"/>
    </row>
    <row r="947" spans="4:8" ht="13.2" x14ac:dyDescent="0.25">
      <c r="D947" s="18"/>
      <c r="E947" s="18"/>
      <c r="F947" s="25"/>
      <c r="G947" s="25"/>
      <c r="H947" s="26"/>
    </row>
    <row r="948" spans="4:8" ht="13.2" x14ac:dyDescent="0.25">
      <c r="D948" s="18"/>
      <c r="E948" s="18"/>
      <c r="F948" s="25"/>
      <c r="G948" s="25"/>
      <c r="H948" s="26"/>
    </row>
    <row r="949" spans="4:8" ht="13.2" x14ac:dyDescent="0.25">
      <c r="D949" s="18"/>
      <c r="E949" s="18"/>
      <c r="F949" s="25"/>
      <c r="G949" s="25"/>
      <c r="H949" s="26"/>
    </row>
    <row r="950" spans="4:8" ht="13.2" x14ac:dyDescent="0.25">
      <c r="D950" s="18"/>
      <c r="E950" s="18"/>
      <c r="F950" s="25"/>
      <c r="G950" s="25"/>
      <c r="H950" s="26"/>
    </row>
    <row r="951" spans="4:8" ht="13.2" x14ac:dyDescent="0.25">
      <c r="D951" s="18"/>
      <c r="E951" s="18"/>
      <c r="F951" s="25"/>
      <c r="G951" s="25"/>
      <c r="H951" s="26"/>
    </row>
    <row r="952" spans="4:8" ht="13.2" x14ac:dyDescent="0.25">
      <c r="D952" s="18"/>
      <c r="E952" s="18"/>
      <c r="F952" s="25"/>
      <c r="G952" s="25"/>
      <c r="H952" s="26"/>
    </row>
    <row r="953" spans="4:8" ht="13.2" x14ac:dyDescent="0.25">
      <c r="D953" s="18"/>
      <c r="E953" s="18"/>
      <c r="F953" s="25"/>
      <c r="G953" s="25"/>
      <c r="H953" s="26"/>
    </row>
    <row r="954" spans="4:8" ht="13.2" x14ac:dyDescent="0.25">
      <c r="D954" s="18"/>
      <c r="E954" s="18"/>
      <c r="F954" s="25"/>
      <c r="G954" s="25"/>
      <c r="H954" s="26"/>
    </row>
    <row r="955" spans="4:8" ht="13.2" x14ac:dyDescent="0.25">
      <c r="D955" s="18"/>
      <c r="E955" s="18"/>
      <c r="F955" s="25"/>
      <c r="G955" s="25"/>
      <c r="H955" s="26"/>
    </row>
    <row r="956" spans="4:8" ht="13.2" x14ac:dyDescent="0.25">
      <c r="D956" s="18"/>
      <c r="E956" s="18"/>
      <c r="F956" s="25"/>
      <c r="G956" s="25"/>
      <c r="H956" s="26"/>
    </row>
    <row r="957" spans="4:8" ht="13.2" x14ac:dyDescent="0.25">
      <c r="D957" s="18"/>
      <c r="E957" s="18"/>
      <c r="F957" s="25"/>
      <c r="G957" s="25"/>
      <c r="H957" s="26"/>
    </row>
    <row r="958" spans="4:8" ht="13.2" x14ac:dyDescent="0.25">
      <c r="D958" s="18"/>
      <c r="E958" s="18"/>
      <c r="F958" s="25"/>
      <c r="G958" s="25"/>
      <c r="H958" s="26"/>
    </row>
    <row r="959" spans="4:8" ht="13.2" x14ac:dyDescent="0.25">
      <c r="D959" s="18"/>
      <c r="E959" s="18"/>
      <c r="F959" s="25"/>
      <c r="G959" s="25"/>
      <c r="H959" s="26"/>
    </row>
    <row r="960" spans="4:8" ht="13.2" x14ac:dyDescent="0.25">
      <c r="D960" s="18"/>
      <c r="E960" s="18"/>
      <c r="F960" s="25"/>
      <c r="G960" s="25"/>
      <c r="H960" s="26"/>
    </row>
    <row r="961" spans="4:8" ht="13.2" x14ac:dyDescent="0.25">
      <c r="D961" s="18"/>
      <c r="E961" s="18"/>
      <c r="F961" s="25"/>
      <c r="G961" s="25"/>
      <c r="H961" s="26"/>
    </row>
    <row r="962" spans="4:8" ht="13.2" x14ac:dyDescent="0.25">
      <c r="D962" s="18"/>
      <c r="E962" s="18"/>
      <c r="F962" s="25"/>
      <c r="G962" s="25"/>
      <c r="H962" s="26"/>
    </row>
    <row r="963" spans="4:8" ht="13.2" x14ac:dyDescent="0.25">
      <c r="D963" s="18"/>
      <c r="E963" s="18"/>
      <c r="F963" s="25"/>
      <c r="G963" s="25"/>
      <c r="H963" s="26"/>
    </row>
    <row r="964" spans="4:8" ht="13.2" x14ac:dyDescent="0.25">
      <c r="D964" s="18"/>
      <c r="E964" s="18"/>
      <c r="F964" s="25"/>
      <c r="G964" s="25"/>
      <c r="H964" s="26"/>
    </row>
    <row r="965" spans="4:8" ht="13.2" x14ac:dyDescent="0.25">
      <c r="D965" s="18"/>
      <c r="E965" s="18"/>
      <c r="F965" s="25"/>
      <c r="G965" s="25"/>
      <c r="H965" s="26"/>
    </row>
    <row r="966" spans="4:8" ht="13.2" x14ac:dyDescent="0.25">
      <c r="D966" s="18"/>
      <c r="E966" s="18"/>
      <c r="F966" s="25"/>
      <c r="G966" s="25"/>
      <c r="H966" s="26"/>
    </row>
    <row r="967" spans="4:8" ht="13.2" x14ac:dyDescent="0.25">
      <c r="D967" s="18"/>
      <c r="E967" s="18"/>
      <c r="F967" s="25"/>
      <c r="G967" s="25"/>
      <c r="H967" s="26"/>
    </row>
    <row r="968" spans="4:8" ht="13.2" x14ac:dyDescent="0.25">
      <c r="D968" s="18"/>
      <c r="E968" s="18"/>
      <c r="F968" s="25"/>
      <c r="G968" s="25"/>
      <c r="H968" s="26"/>
    </row>
    <row r="969" spans="4:8" ht="13.2" x14ac:dyDescent="0.25">
      <c r="D969" s="18"/>
      <c r="E969" s="18"/>
      <c r="F969" s="25"/>
      <c r="G969" s="25"/>
      <c r="H969" s="26"/>
    </row>
    <row r="970" spans="4:8" ht="13.2" x14ac:dyDescent="0.25">
      <c r="D970" s="18"/>
      <c r="E970" s="18"/>
      <c r="F970" s="25"/>
      <c r="G970" s="25"/>
      <c r="H970" s="26"/>
    </row>
    <row r="971" spans="4:8" ht="13.2" x14ac:dyDescent="0.25">
      <c r="D971" s="18"/>
      <c r="E971" s="18"/>
      <c r="F971" s="25"/>
      <c r="G971" s="25"/>
      <c r="H971" s="26"/>
    </row>
    <row r="972" spans="4:8" ht="13.2" x14ac:dyDescent="0.25">
      <c r="D972" s="18"/>
      <c r="E972" s="18"/>
      <c r="F972" s="25"/>
      <c r="G972" s="25"/>
      <c r="H972" s="26"/>
    </row>
    <row r="973" spans="4:8" ht="13.2" x14ac:dyDescent="0.25">
      <c r="D973" s="18"/>
      <c r="E973" s="18"/>
      <c r="F973" s="25"/>
      <c r="G973" s="25"/>
      <c r="H973" s="26"/>
    </row>
    <row r="974" spans="4:8" ht="13.2" x14ac:dyDescent="0.25">
      <c r="D974" s="18"/>
      <c r="E974" s="18"/>
      <c r="F974" s="25"/>
      <c r="G974" s="25"/>
      <c r="H974" s="26"/>
    </row>
    <row r="975" spans="4:8" ht="13.2" x14ac:dyDescent="0.25">
      <c r="D975" s="18"/>
      <c r="E975" s="18"/>
      <c r="F975" s="25"/>
      <c r="G975" s="25"/>
      <c r="H975" s="26"/>
    </row>
    <row r="976" spans="4:8" ht="13.2" x14ac:dyDescent="0.25">
      <c r="D976" s="18"/>
      <c r="E976" s="18"/>
      <c r="F976" s="25"/>
      <c r="G976" s="25"/>
      <c r="H976" s="26"/>
    </row>
    <row r="977" spans="4:8" ht="13.2" x14ac:dyDescent="0.25">
      <c r="D977" s="18"/>
      <c r="E977" s="18"/>
      <c r="F977" s="25"/>
      <c r="G977" s="25"/>
      <c r="H977" s="26"/>
    </row>
    <row r="978" spans="4:8" ht="13.2" x14ac:dyDescent="0.25">
      <c r="D978" s="18"/>
      <c r="E978" s="18"/>
      <c r="F978" s="25"/>
      <c r="G978" s="25"/>
      <c r="H978" s="26"/>
    </row>
    <row r="979" spans="4:8" ht="13.2" x14ac:dyDescent="0.25">
      <c r="D979" s="18"/>
      <c r="E979" s="18"/>
      <c r="F979" s="25"/>
      <c r="G979" s="25"/>
      <c r="H979" s="26"/>
    </row>
    <row r="980" spans="4:8" ht="13.2" x14ac:dyDescent="0.25">
      <c r="D980" s="18"/>
      <c r="E980" s="18"/>
      <c r="F980" s="25"/>
      <c r="G980" s="25"/>
      <c r="H980" s="26"/>
    </row>
    <row r="981" spans="4:8" ht="13.2" x14ac:dyDescent="0.25">
      <c r="D981" s="18"/>
      <c r="E981" s="18"/>
      <c r="F981" s="25"/>
      <c r="G981" s="25"/>
      <c r="H981" s="26"/>
    </row>
    <row r="982" spans="4:8" ht="13.2" x14ac:dyDescent="0.25">
      <c r="D982" s="18"/>
      <c r="E982" s="18"/>
      <c r="F982" s="25"/>
      <c r="G982" s="25"/>
      <c r="H982" s="26"/>
    </row>
    <row r="983" spans="4:8" ht="13.2" x14ac:dyDescent="0.25">
      <c r="D983" s="18"/>
      <c r="E983" s="18"/>
      <c r="F983" s="25"/>
      <c r="G983" s="25"/>
      <c r="H983" s="26"/>
    </row>
    <row r="984" spans="4:8" ht="13.2" x14ac:dyDescent="0.25">
      <c r="D984" s="18"/>
      <c r="E984" s="18"/>
      <c r="F984" s="25"/>
      <c r="G984" s="25"/>
      <c r="H984" s="26"/>
    </row>
    <row r="985" spans="4:8" ht="13.2" x14ac:dyDescent="0.25">
      <c r="D985" s="18"/>
      <c r="E985" s="18"/>
      <c r="F985" s="25"/>
      <c r="G985" s="25"/>
      <c r="H985" s="26"/>
    </row>
    <row r="986" spans="4:8" ht="13.2" x14ac:dyDescent="0.25">
      <c r="D986" s="18"/>
      <c r="E986" s="18"/>
      <c r="F986" s="25"/>
      <c r="G986" s="25"/>
      <c r="H986" s="26"/>
    </row>
    <row r="987" spans="4:8" ht="13.2" x14ac:dyDescent="0.25">
      <c r="D987" s="18"/>
      <c r="E987" s="18"/>
      <c r="F987" s="25"/>
      <c r="G987" s="25"/>
      <c r="H987" s="26"/>
    </row>
    <row r="988" spans="4:8" ht="13.2" x14ac:dyDescent="0.25">
      <c r="D988" s="18"/>
      <c r="E988" s="18"/>
      <c r="F988" s="25"/>
      <c r="G988" s="25"/>
      <c r="H988" s="26"/>
    </row>
    <row r="989" spans="4:8" ht="13.2" x14ac:dyDescent="0.25">
      <c r="D989" s="18"/>
      <c r="E989" s="18"/>
      <c r="F989" s="25"/>
      <c r="G989" s="25"/>
      <c r="H989" s="26"/>
    </row>
    <row r="990" spans="4:8" ht="13.2" x14ac:dyDescent="0.25">
      <c r="D990" s="18"/>
      <c r="E990" s="18"/>
      <c r="F990" s="25"/>
      <c r="G990" s="25"/>
      <c r="H990" s="26"/>
    </row>
    <row r="991" spans="4:8" ht="13.2" x14ac:dyDescent="0.25">
      <c r="D991" s="18"/>
      <c r="E991" s="18"/>
      <c r="F991" s="25"/>
      <c r="G991" s="25"/>
      <c r="H991" s="26"/>
    </row>
    <row r="992" spans="4:8" ht="13.2" x14ac:dyDescent="0.25">
      <c r="D992" s="18"/>
      <c r="E992" s="18"/>
      <c r="F992" s="25"/>
      <c r="G992" s="25"/>
      <c r="H992" s="26"/>
    </row>
    <row r="993" spans="4:8" ht="13.2" x14ac:dyDescent="0.25">
      <c r="D993" s="18"/>
      <c r="E993" s="18"/>
      <c r="F993" s="25"/>
      <c r="G993" s="25"/>
      <c r="H993" s="26"/>
    </row>
    <row r="994" spans="4:8" ht="13.2" x14ac:dyDescent="0.25">
      <c r="D994" s="18"/>
      <c r="E994" s="18"/>
      <c r="F994" s="25"/>
      <c r="G994" s="25"/>
      <c r="H994" s="26"/>
    </row>
    <row r="995" spans="4:8" ht="13.2" x14ac:dyDescent="0.25">
      <c r="D995" s="18"/>
      <c r="E995" s="18"/>
      <c r="F995" s="25"/>
      <c r="G995" s="25"/>
      <c r="H995" s="26"/>
    </row>
    <row r="996" spans="4:8" ht="13.2" x14ac:dyDescent="0.25">
      <c r="D996" s="18"/>
      <c r="E996" s="18"/>
      <c r="F996" s="25"/>
      <c r="G996" s="25"/>
      <c r="H996" s="26"/>
    </row>
    <row r="997" spans="4:8" ht="13.2" x14ac:dyDescent="0.25">
      <c r="D997" s="18"/>
      <c r="E997" s="18"/>
      <c r="F997" s="25"/>
      <c r="G997" s="25"/>
      <c r="H997" s="26"/>
    </row>
    <row r="998" spans="4:8" ht="13.2" x14ac:dyDescent="0.25">
      <c r="D998" s="18"/>
      <c r="E998" s="18"/>
      <c r="F998" s="25"/>
      <c r="G998" s="25"/>
      <c r="H998" s="26"/>
    </row>
    <row r="999" spans="4:8" ht="13.2" x14ac:dyDescent="0.25">
      <c r="D999" s="18"/>
      <c r="E999" s="18"/>
      <c r="F999" s="25"/>
      <c r="G999" s="25"/>
      <c r="H999" s="26"/>
    </row>
    <row r="1000" spans="4:8" ht="13.2" x14ac:dyDescent="0.25">
      <c r="D1000" s="18"/>
      <c r="E1000" s="18"/>
      <c r="F1000" s="25"/>
      <c r="G1000" s="25"/>
      <c r="H1000" s="26"/>
    </row>
    <row r="1001" spans="4:8" ht="13.2" x14ac:dyDescent="0.25">
      <c r="D1001" s="18"/>
      <c r="E1001" s="18"/>
      <c r="F1001" s="25"/>
      <c r="G1001" s="25"/>
      <c r="H1001" s="26"/>
    </row>
    <row r="1002" spans="4:8" ht="13.2" x14ac:dyDescent="0.25">
      <c r="D1002" s="18"/>
      <c r="E1002" s="18"/>
      <c r="F1002" s="25"/>
      <c r="G1002" s="25"/>
      <c r="H1002" s="26"/>
    </row>
    <row r="1003" spans="4:8" ht="13.2" x14ac:dyDescent="0.25">
      <c r="D1003" s="18"/>
      <c r="E1003" s="18"/>
      <c r="F1003" s="25"/>
      <c r="G1003" s="25"/>
      <c r="H1003" s="26"/>
    </row>
    <row r="1004" spans="4:8" ht="13.2" x14ac:dyDescent="0.25">
      <c r="D1004" s="18"/>
      <c r="E1004" s="18"/>
      <c r="F1004" s="25"/>
      <c r="G1004" s="25"/>
      <c r="H1004" s="26"/>
    </row>
    <row r="1005" spans="4:8" ht="13.2" x14ac:dyDescent="0.25">
      <c r="D1005" s="18"/>
      <c r="E1005" s="18"/>
      <c r="F1005" s="25"/>
      <c r="G1005" s="25"/>
      <c r="H1005" s="26"/>
    </row>
    <row r="1006" spans="4:8" ht="13.2" x14ac:dyDescent="0.25">
      <c r="D1006" s="18"/>
      <c r="E1006" s="18"/>
      <c r="F1006" s="25"/>
      <c r="G1006" s="25"/>
      <c r="H1006" s="26"/>
    </row>
    <row r="1007" spans="4:8" ht="13.2" x14ac:dyDescent="0.25">
      <c r="D1007" s="18"/>
      <c r="E1007" s="18"/>
      <c r="F1007" s="25"/>
      <c r="G1007" s="25"/>
      <c r="H1007" s="26"/>
    </row>
    <row r="1008" spans="4:8" ht="13.2" x14ac:dyDescent="0.25">
      <c r="D1008" s="18"/>
      <c r="E1008" s="18"/>
      <c r="F1008" s="25"/>
      <c r="G1008" s="25"/>
      <c r="H1008" s="26"/>
    </row>
    <row r="1009" spans="4:8" ht="13.2" x14ac:dyDescent="0.25">
      <c r="D1009" s="18"/>
      <c r="E1009" s="18"/>
      <c r="F1009" s="25"/>
      <c r="G1009" s="25"/>
      <c r="H1009" s="26"/>
    </row>
    <row r="1010" spans="4:8" ht="13.2" x14ac:dyDescent="0.25">
      <c r="D1010" s="18"/>
      <c r="E1010" s="18"/>
      <c r="F1010" s="25"/>
      <c r="G1010" s="25"/>
      <c r="H1010" s="26"/>
    </row>
    <row r="1011" spans="4:8" ht="13.2" x14ac:dyDescent="0.25">
      <c r="D1011" s="18"/>
      <c r="E1011" s="18"/>
      <c r="F1011" s="25"/>
      <c r="G1011" s="25"/>
      <c r="H1011" s="26"/>
    </row>
    <row r="1012" spans="4:8" ht="13.2" x14ac:dyDescent="0.25">
      <c r="D1012" s="18"/>
      <c r="E1012" s="18"/>
      <c r="F1012" s="25"/>
      <c r="G1012" s="25"/>
      <c r="H1012" s="26"/>
    </row>
    <row r="1013" spans="4:8" ht="13.2" x14ac:dyDescent="0.25">
      <c r="D1013" s="18"/>
      <c r="E1013" s="18"/>
      <c r="F1013" s="25"/>
      <c r="G1013" s="25"/>
      <c r="H1013" s="26"/>
    </row>
    <row r="1014" spans="4:8" ht="13.2" x14ac:dyDescent="0.25">
      <c r="D1014" s="18"/>
      <c r="E1014" s="18"/>
      <c r="F1014" s="25"/>
      <c r="G1014" s="25"/>
      <c r="H1014" s="26"/>
    </row>
    <row r="1015" spans="4:8" ht="13.2" x14ac:dyDescent="0.25">
      <c r="D1015" s="18"/>
      <c r="E1015" s="18"/>
      <c r="F1015" s="25"/>
      <c r="G1015" s="25"/>
      <c r="H1015" s="26"/>
    </row>
    <row r="1016" spans="4:8" ht="13.2" x14ac:dyDescent="0.25">
      <c r="D1016" s="18"/>
      <c r="E1016" s="18"/>
      <c r="F1016" s="25"/>
      <c r="G1016" s="25"/>
      <c r="H1016" s="26"/>
    </row>
    <row r="1017" spans="4:8" ht="13.2" x14ac:dyDescent="0.25">
      <c r="D1017" s="18"/>
      <c r="E1017" s="18"/>
      <c r="F1017" s="25"/>
      <c r="G1017" s="25"/>
      <c r="H1017" s="26"/>
    </row>
    <row r="1018" spans="4:8" ht="13.2" x14ac:dyDescent="0.25">
      <c r="D1018" s="18"/>
      <c r="E1018" s="18"/>
      <c r="F1018" s="25"/>
      <c r="G1018" s="25"/>
      <c r="H1018" s="26"/>
    </row>
    <row r="1019" spans="4:8" ht="13.2" x14ac:dyDescent="0.25">
      <c r="D1019" s="18"/>
      <c r="E1019" s="18"/>
      <c r="F1019" s="25"/>
      <c r="G1019" s="25"/>
      <c r="H1019" s="26"/>
    </row>
    <row r="1020" spans="4:8" ht="13.2" x14ac:dyDescent="0.25">
      <c r="D1020" s="18"/>
      <c r="E1020" s="18"/>
      <c r="F1020" s="25"/>
      <c r="G1020" s="25"/>
      <c r="H1020" s="26"/>
    </row>
    <row r="1021" spans="4:8" ht="13.2" x14ac:dyDescent="0.25">
      <c r="D1021" s="18"/>
      <c r="E1021" s="18"/>
      <c r="F1021" s="25"/>
      <c r="G1021" s="25"/>
      <c r="H1021" s="26"/>
    </row>
    <row r="1022" spans="4:8" ht="13.2" x14ac:dyDescent="0.25">
      <c r="D1022" s="18"/>
      <c r="E1022" s="18"/>
      <c r="F1022" s="25"/>
      <c r="G1022" s="25"/>
      <c r="H1022" s="26"/>
    </row>
    <row r="1023" spans="4:8" ht="13.2" x14ac:dyDescent="0.25">
      <c r="D1023" s="18"/>
      <c r="E1023" s="18"/>
      <c r="F1023" s="25"/>
      <c r="G1023" s="25"/>
      <c r="H1023" s="26"/>
    </row>
    <row r="1024" spans="4:8" ht="13.2" x14ac:dyDescent="0.25">
      <c r="D1024" s="18"/>
      <c r="E1024" s="18"/>
      <c r="F1024" s="25"/>
      <c r="G1024" s="25"/>
      <c r="H1024" s="26"/>
    </row>
    <row r="1025" spans="4:8" ht="13.2" x14ac:dyDescent="0.25">
      <c r="D1025" s="18"/>
      <c r="E1025" s="18"/>
      <c r="F1025" s="25"/>
      <c r="G1025" s="25"/>
      <c r="H1025" s="26"/>
    </row>
  </sheetData>
  <mergeCells count="26">
    <mergeCell ref="B4:B8"/>
    <mergeCell ref="B10:B14"/>
    <mergeCell ref="B16:B20"/>
    <mergeCell ref="B22:B26"/>
    <mergeCell ref="B28:B32"/>
    <mergeCell ref="B34:B38"/>
    <mergeCell ref="B40:B44"/>
    <mergeCell ref="B46:B50"/>
    <mergeCell ref="B52:B56"/>
    <mergeCell ref="B58:B62"/>
    <mergeCell ref="B64:B68"/>
    <mergeCell ref="B70:B74"/>
    <mergeCell ref="B76:B80"/>
    <mergeCell ref="B82:B86"/>
    <mergeCell ref="B130:B134"/>
    <mergeCell ref="B136:B140"/>
    <mergeCell ref="B142:B146"/>
    <mergeCell ref="B148:B152"/>
    <mergeCell ref="B154:B158"/>
    <mergeCell ref="B88:B92"/>
    <mergeCell ref="B94:B98"/>
    <mergeCell ref="B100:B104"/>
    <mergeCell ref="B106:B110"/>
    <mergeCell ref="B112:B116"/>
    <mergeCell ref="B118:B122"/>
    <mergeCell ref="B124:B12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1025"/>
  <sheetViews>
    <sheetView workbookViewId="0">
      <selection activeCell="A22" sqref="A22"/>
    </sheetView>
  </sheetViews>
  <sheetFormatPr defaultColWidth="12.6640625" defaultRowHeight="15.75" customHeight="1" x14ac:dyDescent="0.25"/>
  <cols>
    <col min="1" max="1" width="8.88671875" customWidth="1"/>
    <col min="4" max="5" width="24.21875" customWidth="1"/>
  </cols>
  <sheetData>
    <row r="1" spans="1:12" ht="13.2" x14ac:dyDescent="0.25">
      <c r="A1" s="1"/>
      <c r="D1" s="25"/>
      <c r="E1" s="25"/>
      <c r="F1" s="28"/>
    </row>
    <row r="2" spans="1:12" ht="13.2" x14ac:dyDescent="0.25">
      <c r="D2" s="25"/>
      <c r="E2" s="25"/>
      <c r="F2" s="28"/>
    </row>
    <row r="3" spans="1:12" ht="13.8" thickBot="1" x14ac:dyDescent="0.3">
      <c r="D3" s="25"/>
      <c r="E3" s="25"/>
      <c r="F3" s="28"/>
      <c r="I3" s="19" t="s">
        <v>194</v>
      </c>
    </row>
    <row r="4" spans="1:12" ht="14.4" thickBot="1" x14ac:dyDescent="0.3">
      <c r="B4" s="42" t="s">
        <v>6</v>
      </c>
      <c r="C4" s="42" t="s">
        <v>7</v>
      </c>
      <c r="D4" s="50" t="s">
        <v>202</v>
      </c>
      <c r="E4" s="50" t="s">
        <v>203</v>
      </c>
      <c r="F4" s="47" t="s">
        <v>204</v>
      </c>
      <c r="I4" s="20">
        <v>14553</v>
      </c>
      <c r="J4" s="5">
        <v>2018</v>
      </c>
      <c r="K4" s="29"/>
      <c r="L4" s="5"/>
    </row>
    <row r="5" spans="1:12" ht="14.4" thickBot="1" x14ac:dyDescent="0.3">
      <c r="B5" s="115" t="s">
        <v>18</v>
      </c>
      <c r="C5" s="43">
        <v>2018</v>
      </c>
      <c r="D5" s="52">
        <f>604121359*14553</f>
        <v>8791778137527</v>
      </c>
      <c r="E5" s="52">
        <f>'ROA X3'!F4</f>
        <v>12398425381188</v>
      </c>
      <c r="F5" s="44">
        <f t="shared" ref="F5:F159" si="0">D5/E5</f>
        <v>0.70910441182851103</v>
      </c>
      <c r="I5" s="21">
        <v>13970</v>
      </c>
      <c r="J5" s="5">
        <v>2019</v>
      </c>
    </row>
    <row r="6" spans="1:12" ht="14.4" thickBot="1" x14ac:dyDescent="0.3">
      <c r="B6" s="116"/>
      <c r="C6" s="43">
        <v>2019</v>
      </c>
      <c r="D6" s="52">
        <f>609035054*13970</f>
        <v>8508219704380</v>
      </c>
      <c r="E6" s="52">
        <f>'ROA X3'!F5</f>
        <v>11933575847050</v>
      </c>
      <c r="F6" s="44">
        <f t="shared" si="0"/>
        <v>0.71296481569547709</v>
      </c>
      <c r="I6" s="21">
        <v>14175</v>
      </c>
      <c r="J6" s="5">
        <v>2020</v>
      </c>
    </row>
    <row r="7" spans="1:12" ht="14.4" thickBot="1" x14ac:dyDescent="0.3">
      <c r="B7" s="116"/>
      <c r="C7" s="43">
        <v>2020</v>
      </c>
      <c r="D7" s="52">
        <f>665488035*14175</f>
        <v>9433292896125</v>
      </c>
      <c r="E7" s="52">
        <f>'ROA X3'!F6</f>
        <v>11726087012325</v>
      </c>
      <c r="F7" s="44">
        <f t="shared" si="0"/>
        <v>0.80447065472138313</v>
      </c>
      <c r="I7" s="21">
        <v>14340</v>
      </c>
      <c r="J7" s="5">
        <v>2021</v>
      </c>
    </row>
    <row r="8" spans="1:12" ht="14.4" thickBot="1" x14ac:dyDescent="0.3">
      <c r="B8" s="116"/>
      <c r="C8" s="43">
        <v>2021</v>
      </c>
      <c r="D8" s="52">
        <f>679815042*14340</f>
        <v>9748547702280</v>
      </c>
      <c r="E8" s="52">
        <f>'ROA X3'!F7</f>
        <v>14866337640060</v>
      </c>
      <c r="F8" s="44">
        <f t="shared" si="0"/>
        <v>0.65574642109639691</v>
      </c>
      <c r="I8" s="21">
        <v>15809</v>
      </c>
      <c r="J8" s="5">
        <v>2022</v>
      </c>
    </row>
    <row r="9" spans="1:12" ht="14.4" thickBot="1" x14ac:dyDescent="0.3">
      <c r="B9" s="116"/>
      <c r="C9" s="43">
        <v>2022</v>
      </c>
      <c r="D9" s="52">
        <f>1365057289*15809</f>
        <v>21580190681801</v>
      </c>
      <c r="E9" s="52">
        <f>'ROA X3'!F8</f>
        <v>31342584518276</v>
      </c>
      <c r="F9" s="44">
        <f t="shared" si="0"/>
        <v>0.68852620208194681</v>
      </c>
    </row>
    <row r="10" spans="1:12" ht="14.4" thickBot="1" x14ac:dyDescent="0.3">
      <c r="B10" s="66"/>
      <c r="C10" s="42" t="s">
        <v>219</v>
      </c>
      <c r="D10" s="50">
        <f>SUM(D5:D9)/5</f>
        <v>11612405824422.6</v>
      </c>
      <c r="E10" s="50">
        <f>SUM(E5:E9)/5</f>
        <v>16453402079779.801</v>
      </c>
      <c r="F10" s="67">
        <f>SUM(F5:F9)/5</f>
        <v>0.714162501084743</v>
      </c>
    </row>
    <row r="11" spans="1:12" ht="14.4" thickBot="1" x14ac:dyDescent="0.3">
      <c r="B11" s="115" t="s">
        <v>39</v>
      </c>
      <c r="C11" s="43">
        <v>2018</v>
      </c>
      <c r="D11" s="52">
        <v>10014019260000</v>
      </c>
      <c r="E11" s="52">
        <f>'ROA X3'!F10</f>
        <v>19940850599000</v>
      </c>
      <c r="F11" s="44">
        <f t="shared" si="0"/>
        <v>0.50218616353818857</v>
      </c>
    </row>
    <row r="12" spans="1:12" ht="14.4" thickBot="1" x14ac:dyDescent="0.3">
      <c r="B12" s="116"/>
      <c r="C12" s="43">
        <v>2019</v>
      </c>
      <c r="D12" s="52">
        <v>11342184833000</v>
      </c>
      <c r="E12" s="52">
        <f>'ROA X3'!F11</f>
        <v>21409046173000</v>
      </c>
      <c r="F12" s="44">
        <f t="shared" si="0"/>
        <v>0.52978468733951289</v>
      </c>
    </row>
    <row r="13" spans="1:12" ht="14.4" thickBot="1" x14ac:dyDescent="0.3">
      <c r="B13" s="116"/>
      <c r="C13" s="43">
        <v>2020</v>
      </c>
      <c r="D13" s="52">
        <v>8127216543000</v>
      </c>
      <c r="E13" s="52">
        <f>'ROA X3'!F12</f>
        <v>18683572815000</v>
      </c>
      <c r="F13" s="44">
        <f t="shared" si="0"/>
        <v>0.43499263355427986</v>
      </c>
    </row>
    <row r="14" spans="1:12" ht="14.4" thickBot="1" x14ac:dyDescent="0.3">
      <c r="B14" s="116"/>
      <c r="C14" s="43">
        <v>2021</v>
      </c>
      <c r="D14" s="52">
        <v>12209620623000</v>
      </c>
      <c r="E14" s="52">
        <f>'ROA X3'!F13</f>
        <v>23508585736000</v>
      </c>
      <c r="F14" s="44">
        <f t="shared" si="0"/>
        <v>0.51936857283178595</v>
      </c>
    </row>
    <row r="15" spans="1:12" ht="14.4" thickBot="1" x14ac:dyDescent="0.3">
      <c r="B15" s="116"/>
      <c r="C15" s="43">
        <v>2022</v>
      </c>
      <c r="D15" s="52">
        <v>14032797261000</v>
      </c>
      <c r="E15" s="52">
        <f>'ROA X3'!F14</f>
        <v>27187608036000</v>
      </c>
      <c r="F15" s="44">
        <f t="shared" si="0"/>
        <v>0.51614681374024207</v>
      </c>
    </row>
    <row r="16" spans="1:12" ht="14.4" thickBot="1" x14ac:dyDescent="0.3">
      <c r="B16" s="66"/>
      <c r="C16" s="42" t="s">
        <v>219</v>
      </c>
      <c r="D16" s="50">
        <f>SUM(D11:D15)/5</f>
        <v>11145167704000</v>
      </c>
      <c r="E16" s="50">
        <f>SUM(E11:E15)/5</f>
        <v>22145932671800</v>
      </c>
      <c r="F16" s="67">
        <f>SUM(F11:F15)/5</f>
        <v>0.50049577420080182</v>
      </c>
    </row>
    <row r="17" spans="2:6" ht="14.4" thickBot="1" x14ac:dyDescent="0.3">
      <c r="B17" s="115" t="s">
        <v>60</v>
      </c>
      <c r="C17" s="43">
        <v>2018</v>
      </c>
      <c r="D17" s="52">
        <f>3403162098*14453</f>
        <v>49185901802394</v>
      </c>
      <c r="E17" s="52">
        <f>'ROA X3'!F16</f>
        <v>56855281134267</v>
      </c>
      <c r="F17" s="44">
        <f t="shared" si="0"/>
        <v>0.86510700186740219</v>
      </c>
    </row>
    <row r="18" spans="2:6" ht="14.4" thickBot="1" x14ac:dyDescent="0.3">
      <c r="B18" s="116"/>
      <c r="C18" s="43">
        <v>2019</v>
      </c>
      <c r="D18" s="52">
        <f>3192870099*I5</f>
        <v>44604395283030</v>
      </c>
      <c r="E18" s="52">
        <f>'ROA X3'!F17</f>
        <v>51728196718660</v>
      </c>
      <c r="F18" s="44">
        <f t="shared" si="0"/>
        <v>0.86228397880608476</v>
      </c>
    </row>
    <row r="19" spans="2:6" ht="14.4" thickBot="1" x14ac:dyDescent="0.3">
      <c r="B19" s="116"/>
      <c r="C19" s="43">
        <v>2020</v>
      </c>
      <c r="D19" s="52">
        <f>3295912298*I6</f>
        <v>46719556824150</v>
      </c>
      <c r="E19" s="52">
        <f>'ROA X3'!F18</f>
        <v>48599700885225</v>
      </c>
      <c r="F19" s="44">
        <f t="shared" si="0"/>
        <v>0.96131367010848023</v>
      </c>
    </row>
    <row r="20" spans="2:6" ht="14.4" thickBot="1" x14ac:dyDescent="0.3">
      <c r="B20" s="116"/>
      <c r="C20" s="43">
        <v>2021</v>
      </c>
      <c r="D20" s="52">
        <f>3577340599*I7</f>
        <v>51299064189660</v>
      </c>
      <c r="E20" s="52">
        <f>'ROA X3'!F19</f>
        <v>60569109681240</v>
      </c>
      <c r="F20" s="44">
        <f t="shared" si="0"/>
        <v>0.84695093686590539</v>
      </c>
    </row>
    <row r="21" spans="2:6" ht="14.4" thickBot="1" x14ac:dyDescent="0.3">
      <c r="B21" s="116"/>
      <c r="C21" s="43">
        <v>2022</v>
      </c>
      <c r="D21" s="52">
        <f>1669538707*I8</f>
        <v>26393737418963</v>
      </c>
      <c r="E21" s="52">
        <f>'ROA X3'!F20</f>
        <v>70951534532921</v>
      </c>
      <c r="F21" s="44">
        <f t="shared" si="0"/>
        <v>0.37199671004601736</v>
      </c>
    </row>
    <row r="22" spans="2:6" ht="14.4" thickBot="1" x14ac:dyDescent="0.3">
      <c r="B22" s="66"/>
      <c r="C22" s="42" t="s">
        <v>219</v>
      </c>
      <c r="D22" s="50">
        <f>SUM(D17:D21)/5</f>
        <v>43640531103639.398</v>
      </c>
      <c r="E22" s="50">
        <f>SUM(E17:E21)/5</f>
        <v>57740764590462.602</v>
      </c>
      <c r="F22" s="67">
        <f>SUM(F17:F21)/5</f>
        <v>0.78153045953877798</v>
      </c>
    </row>
    <row r="23" spans="2:6" ht="14.4" thickBot="1" x14ac:dyDescent="0.3">
      <c r="B23" s="115" t="s">
        <v>81</v>
      </c>
      <c r="C23" s="43">
        <v>2018</v>
      </c>
      <c r="D23" s="52">
        <v>2357127000000</v>
      </c>
      <c r="E23" s="52">
        <f>'ROA X3'!F22</f>
        <v>5657327000000</v>
      </c>
      <c r="F23" s="44">
        <f t="shared" si="0"/>
        <v>0.4166503014586217</v>
      </c>
    </row>
    <row r="24" spans="2:6" ht="14.4" thickBot="1" x14ac:dyDescent="0.3">
      <c r="B24" s="116"/>
      <c r="C24" s="43">
        <v>2019</v>
      </c>
      <c r="D24" s="52">
        <v>3228339000000</v>
      </c>
      <c r="E24" s="52">
        <f>'ROA X3'!F23</f>
        <v>6805037000000</v>
      </c>
      <c r="F24" s="44">
        <f t="shared" si="0"/>
        <v>0.47440432726523013</v>
      </c>
    </row>
    <row r="25" spans="2:6" ht="14.4" thickBot="1" x14ac:dyDescent="0.3">
      <c r="B25" s="116"/>
      <c r="C25" s="43">
        <v>2020</v>
      </c>
      <c r="D25" s="52">
        <v>3821876000000</v>
      </c>
      <c r="E25" s="52">
        <f>'ROA X3'!F24</f>
        <v>7562822000000</v>
      </c>
      <c r="F25" s="44">
        <f t="shared" si="0"/>
        <v>0.50535051598464176</v>
      </c>
    </row>
    <row r="26" spans="2:6" ht="14.4" thickBot="1" x14ac:dyDescent="0.3">
      <c r="B26" s="116"/>
      <c r="C26" s="43">
        <v>2021</v>
      </c>
      <c r="D26" s="52">
        <v>3456723000000</v>
      </c>
      <c r="E26" s="52">
        <f>'ROA X3'!F25</f>
        <v>7234857000000</v>
      </c>
      <c r="F26" s="44">
        <f t="shared" si="0"/>
        <v>0.47778732876130103</v>
      </c>
    </row>
    <row r="27" spans="2:6" ht="14.4" thickBot="1" x14ac:dyDescent="0.3">
      <c r="B27" s="116"/>
      <c r="C27" s="43">
        <v>2022</v>
      </c>
      <c r="D27" s="52">
        <v>4718878000000</v>
      </c>
      <c r="E27" s="52">
        <f>'ROA X3'!F26</f>
        <v>8836089000000</v>
      </c>
      <c r="F27" s="44">
        <f t="shared" si="0"/>
        <v>0.53404600157377324</v>
      </c>
    </row>
    <row r="28" spans="2:6" ht="14.4" thickBot="1" x14ac:dyDescent="0.3">
      <c r="B28" s="66"/>
      <c r="C28" s="42" t="s">
        <v>219</v>
      </c>
      <c r="D28" s="50">
        <f>SUM(D23:D27)/5</f>
        <v>3516588600000</v>
      </c>
      <c r="E28" s="50">
        <f>SUM(E23:E27)/5</f>
        <v>7219226400000</v>
      </c>
      <c r="F28" s="67">
        <f>SUM(F23:F27)/5</f>
        <v>0.48164769500871357</v>
      </c>
    </row>
    <row r="29" spans="2:6" ht="14.4" thickBot="1" x14ac:dyDescent="0.3">
      <c r="B29" s="115" t="s">
        <v>98</v>
      </c>
      <c r="C29" s="43">
        <v>2018</v>
      </c>
      <c r="D29" s="52">
        <f>364459000*I4</f>
        <v>5303971827000</v>
      </c>
      <c r="E29" s="52">
        <f>'ROA X3'!F28</f>
        <v>7564927056000</v>
      </c>
      <c r="F29" s="44">
        <f t="shared" si="0"/>
        <v>0.70112663185473023</v>
      </c>
    </row>
    <row r="30" spans="2:6" ht="14.4" thickBot="1" x14ac:dyDescent="0.3">
      <c r="B30" s="116"/>
      <c r="C30" s="43">
        <v>2019</v>
      </c>
      <c r="D30" s="52">
        <f>338481000*I5</f>
        <v>4728579570000</v>
      </c>
      <c r="E30" s="52">
        <f>'ROA X3'!F29</f>
        <v>7698084680000</v>
      </c>
      <c r="F30" s="44">
        <f t="shared" si="0"/>
        <v>0.61425403416061153</v>
      </c>
    </row>
    <row r="31" spans="2:6" ht="14.4" thickBot="1" x14ac:dyDescent="0.3">
      <c r="B31" s="116"/>
      <c r="C31" s="43">
        <v>2020</v>
      </c>
      <c r="D31" s="52">
        <f>298248000*I6</f>
        <v>4227665400000</v>
      </c>
      <c r="E31" s="52">
        <f>'ROA X3'!F30</f>
        <v>7508327400000</v>
      </c>
      <c r="F31" s="44">
        <f t="shared" si="0"/>
        <v>0.56306353929105435</v>
      </c>
    </row>
    <row r="32" spans="2:6" ht="14.4" thickBot="1" x14ac:dyDescent="0.3">
      <c r="B32" s="116"/>
      <c r="C32" s="43">
        <v>2021</v>
      </c>
      <c r="D32" s="52">
        <f>272513000*I7</f>
        <v>3907836420000</v>
      </c>
      <c r="E32" s="52">
        <f>'ROA X3'!F31</f>
        <v>7639434240000</v>
      </c>
      <c r="F32" s="44">
        <f t="shared" si="0"/>
        <v>0.5115347939692455</v>
      </c>
    </row>
    <row r="33" spans="2:6" ht="14.4" thickBot="1" x14ac:dyDescent="0.3">
      <c r="B33" s="116"/>
      <c r="C33" s="43">
        <v>2022</v>
      </c>
      <c r="D33" s="52">
        <f>298429000*I8</f>
        <v>4717864061000</v>
      </c>
      <c r="E33" s="52">
        <f>'ROA X3'!F32</f>
        <v>9428803780000</v>
      </c>
      <c r="F33" s="44">
        <f t="shared" si="0"/>
        <v>0.50036719090573756</v>
      </c>
    </row>
    <row r="34" spans="2:6" ht="14.4" thickBot="1" x14ac:dyDescent="0.3">
      <c r="B34" s="66"/>
      <c r="C34" s="42" t="s">
        <v>219</v>
      </c>
      <c r="D34" s="50">
        <f>SUM(D29:D33)/5</f>
        <v>4577183455600</v>
      </c>
      <c r="E34" s="50">
        <f>SUM(E29:E33)/5</f>
        <v>7967915431200</v>
      </c>
      <c r="F34" s="67">
        <f>SUM(F29:F33)/5</f>
        <v>0.57806923803627586</v>
      </c>
    </row>
    <row r="35" spans="2:6" ht="14.4" thickBot="1" x14ac:dyDescent="0.3">
      <c r="B35" s="115" t="s">
        <v>114</v>
      </c>
      <c r="C35" s="43">
        <v>2018</v>
      </c>
      <c r="D35" s="52">
        <f>472945000*I4</f>
        <v>6882768585000</v>
      </c>
      <c r="E35" s="52">
        <f>'ROA X3'!F34</f>
        <v>19644184448000</v>
      </c>
      <c r="F35" s="44">
        <f t="shared" si="0"/>
        <v>0.35037181631130243</v>
      </c>
    </row>
    <row r="36" spans="2:6" ht="14.4" thickBot="1" x14ac:dyDescent="0.3">
      <c r="B36" s="116"/>
      <c r="C36" s="43">
        <v>2019</v>
      </c>
      <c r="D36" s="52">
        <f>233288000*I5</f>
        <v>3259033360000</v>
      </c>
      <c r="E36" s="52">
        <f>'ROA X3'!F35</f>
        <v>16890302770000</v>
      </c>
      <c r="F36" s="44">
        <f t="shared" si="0"/>
        <v>0.19295292715466225</v>
      </c>
    </row>
    <row r="37" spans="2:6" ht="14.4" thickBot="1" x14ac:dyDescent="0.3">
      <c r="B37" s="116"/>
      <c r="C37" s="43">
        <v>2020</v>
      </c>
      <c r="D37" s="52">
        <f>207300000*I6</f>
        <v>2938477500000</v>
      </c>
      <c r="E37" s="52">
        <f>'ROA X3'!F36</f>
        <v>16423566075000</v>
      </c>
      <c r="F37" s="44">
        <f t="shared" si="0"/>
        <v>0.17891835954390922</v>
      </c>
    </row>
    <row r="38" spans="2:6" ht="14.4" thickBot="1" x14ac:dyDescent="0.3">
      <c r="B38" s="116"/>
      <c r="C38" s="43">
        <v>2021</v>
      </c>
      <c r="D38" s="52">
        <f>464680000*I7</f>
        <v>6663511200000</v>
      </c>
      <c r="E38" s="52">
        <f>'ROA X3'!F37</f>
        <v>23893867260000</v>
      </c>
      <c r="F38" s="44">
        <f t="shared" si="0"/>
        <v>0.27887956049522306</v>
      </c>
    </row>
    <row r="39" spans="2:6" ht="14.4" thickBot="1" x14ac:dyDescent="0.3">
      <c r="B39" s="116"/>
      <c r="C39" s="43">
        <v>2022</v>
      </c>
      <c r="D39" s="52">
        <f>689897000*I8</f>
        <v>10906581673000</v>
      </c>
      <c r="E39" s="52">
        <f>'ROA X3'!F38</f>
        <v>41738558193000</v>
      </c>
      <c r="F39" s="44">
        <f t="shared" si="0"/>
        <v>0.26130710175870786</v>
      </c>
    </row>
    <row r="40" spans="2:6" ht="14.4" thickBot="1" x14ac:dyDescent="0.3">
      <c r="B40" s="66"/>
      <c r="C40" s="42" t="s">
        <v>219</v>
      </c>
      <c r="D40" s="50">
        <f>SUM(D35:D39)/5</f>
        <v>6130074463600</v>
      </c>
      <c r="E40" s="50">
        <f>SUM(E35:E39)/5</f>
        <v>23718095749200</v>
      </c>
      <c r="F40" s="67">
        <f>SUM(F35:F39)/5</f>
        <v>0.25248595305276095</v>
      </c>
    </row>
    <row r="41" spans="2:6" ht="14.4" thickBot="1" x14ac:dyDescent="0.3">
      <c r="B41" s="115" t="s">
        <v>129</v>
      </c>
      <c r="C41" s="43">
        <v>2018</v>
      </c>
      <c r="D41" s="56">
        <f>68321204*I4</f>
        <v>994278481812</v>
      </c>
      <c r="E41" s="52">
        <f>'ROA X3'!F40</f>
        <v>3263871752960</v>
      </c>
      <c r="F41" s="44">
        <f t="shared" si="0"/>
        <v>0.30463160230186448</v>
      </c>
    </row>
    <row r="42" spans="2:6" ht="14.4" thickBot="1" x14ac:dyDescent="0.3">
      <c r="B42" s="116"/>
      <c r="C42" s="43">
        <v>2019</v>
      </c>
      <c r="D42" s="56">
        <f>46254611*I5</f>
        <v>646176915670</v>
      </c>
      <c r="E42" s="52">
        <f>'ROA X3'!F41</f>
        <v>3047351957100</v>
      </c>
      <c r="F42" s="44">
        <f t="shared" si="0"/>
        <v>0.21204538391585448</v>
      </c>
    </row>
    <row r="43" spans="2:6" ht="14.4" thickBot="1" x14ac:dyDescent="0.3">
      <c r="B43" s="116"/>
      <c r="C43" s="43">
        <v>2020</v>
      </c>
      <c r="D43" s="56">
        <f>38053795*I6</f>
        <v>539412544125</v>
      </c>
      <c r="E43" s="52">
        <f>'ROA X3'!F42</f>
        <v>2762127175500</v>
      </c>
      <c r="F43" s="44">
        <f t="shared" si="0"/>
        <v>0.19528881541356097</v>
      </c>
    </row>
    <row r="44" spans="2:6" ht="14.4" thickBot="1" x14ac:dyDescent="0.3">
      <c r="B44" s="116"/>
      <c r="C44" s="43">
        <v>2021</v>
      </c>
      <c r="D44" s="56">
        <f>8532100*I7</f>
        <v>122350314000</v>
      </c>
      <c r="E44" s="52">
        <f>'ROA X3'!F43</f>
        <v>2547344478900</v>
      </c>
      <c r="F44" s="44">
        <f t="shared" si="0"/>
        <v>4.8030533370513592E-2</v>
      </c>
    </row>
    <row r="45" spans="2:6" ht="14.4" thickBot="1" x14ac:dyDescent="0.3">
      <c r="B45" s="116"/>
      <c r="C45" s="43">
        <v>2022</v>
      </c>
      <c r="D45" s="56">
        <f>24885243*I8</f>
        <v>393410806587</v>
      </c>
      <c r="E45" s="52">
        <f>'ROA X3'!F44</f>
        <v>3335602122448</v>
      </c>
      <c r="F45" s="44">
        <f t="shared" si="0"/>
        <v>0.11794296566110697</v>
      </c>
    </row>
    <row r="46" spans="2:6" ht="14.4" thickBot="1" x14ac:dyDescent="0.3">
      <c r="B46" s="66"/>
      <c r="C46" s="42" t="s">
        <v>219</v>
      </c>
      <c r="D46" s="50">
        <f>SUM(D41:D45)/5</f>
        <v>539125812438.79999</v>
      </c>
      <c r="E46" s="50">
        <f>SUM(E41:E45)/5</f>
        <v>2991259497381.6001</v>
      </c>
      <c r="F46" s="67">
        <f>SUM(F41:F45)/5</f>
        <v>0.1755878601325801</v>
      </c>
    </row>
    <row r="47" spans="2:6" ht="14.4" thickBot="1" x14ac:dyDescent="0.3">
      <c r="B47" s="115" t="s">
        <v>140</v>
      </c>
      <c r="C47" s="43">
        <v>2018</v>
      </c>
      <c r="D47" s="52">
        <f>3865132439*I4</f>
        <v>56249272384767</v>
      </c>
      <c r="E47" s="52">
        <f>'ROA X3'!F46</f>
        <v>76438086185538</v>
      </c>
      <c r="F47" s="44">
        <f t="shared" si="0"/>
        <v>0.7358801769085801</v>
      </c>
    </row>
    <row r="48" spans="2:6" ht="14.4" thickBot="1" x14ac:dyDescent="0.3">
      <c r="B48" s="116"/>
      <c r="C48" s="43">
        <v>2019</v>
      </c>
      <c r="D48" s="52">
        <f>4652695011*I5</f>
        <v>64998149303670</v>
      </c>
      <c r="E48" s="52">
        <f>'ROA X3'!F47</f>
        <v>83785402191370</v>
      </c>
      <c r="F48" s="44">
        <f t="shared" si="0"/>
        <v>0.77576937752487019</v>
      </c>
    </row>
    <row r="49" spans="2:7" ht="14.4" thickBot="1" x14ac:dyDescent="0.3">
      <c r="B49" s="116"/>
      <c r="C49" s="43">
        <v>2020</v>
      </c>
      <c r="D49" s="52">
        <f>4687437992*I6</f>
        <v>66444433536600</v>
      </c>
      <c r="E49" s="52">
        <f>'ROA X3'!F48</f>
        <v>83644165387125</v>
      </c>
      <c r="F49" s="44">
        <f t="shared" si="0"/>
        <v>0.79437021373911054</v>
      </c>
    </row>
    <row r="50" spans="2:7" ht="14.4" thickBot="1" x14ac:dyDescent="0.3">
      <c r="B50" s="116"/>
      <c r="C50" s="43">
        <v>2021</v>
      </c>
      <c r="D50" s="52">
        <f>4454547678*I7</f>
        <v>63878213702520</v>
      </c>
      <c r="E50" s="52">
        <f>'ROA X3'!F49</f>
        <v>81506898553260</v>
      </c>
      <c r="F50" s="44">
        <f t="shared" si="0"/>
        <v>0.7837154257658242</v>
      </c>
    </row>
    <row r="51" spans="2:7" ht="14.4" thickBot="1" x14ac:dyDescent="0.3">
      <c r="B51" s="116"/>
      <c r="C51" s="43">
        <v>2022</v>
      </c>
      <c r="D51" s="52">
        <f>5184386501*I8</f>
        <v>81959966194309</v>
      </c>
      <c r="E51" s="52">
        <f>'ROA X3'!F50</f>
        <v>109586499203234</v>
      </c>
      <c r="F51" s="44">
        <f t="shared" si="0"/>
        <v>0.74790203893921159</v>
      </c>
    </row>
    <row r="52" spans="2:7" ht="14.4" thickBot="1" x14ac:dyDescent="0.3">
      <c r="B52" s="66"/>
      <c r="C52" s="42" t="s">
        <v>219</v>
      </c>
      <c r="D52" s="50">
        <f>SUM(D47:D51)/5</f>
        <v>66706007024373.203</v>
      </c>
      <c r="E52" s="50">
        <f>SUM(E47:E51)/5</f>
        <v>86992210304105.406</v>
      </c>
      <c r="F52" s="67">
        <f>SUM(F47:F51)/5</f>
        <v>0.7675274465755193</v>
      </c>
    </row>
    <row r="53" spans="2:7" ht="14.4" thickBot="1" x14ac:dyDescent="0.3">
      <c r="B53" s="115" t="s">
        <v>150</v>
      </c>
      <c r="C53" s="43">
        <v>2018</v>
      </c>
      <c r="D53" s="52">
        <f>4737382456*I4</f>
        <v>68943126882168</v>
      </c>
      <c r="E53" s="52">
        <f>'ROA X3'!F52</f>
        <v>115540242399351</v>
      </c>
      <c r="F53" s="44">
        <f t="shared" si="0"/>
        <v>0.59670228701679839</v>
      </c>
    </row>
    <row r="54" spans="2:7" ht="14.4" thickBot="1" x14ac:dyDescent="0.3">
      <c r="B54" s="116"/>
      <c r="C54" s="43">
        <v>2019</v>
      </c>
      <c r="D54" s="52">
        <f>4139412275*I5</f>
        <v>57827589481750</v>
      </c>
      <c r="E54" s="52">
        <f>'ROA X3'!F53</f>
        <v>103010772789320</v>
      </c>
      <c r="F54" s="44">
        <f t="shared" si="0"/>
        <v>0.56137419335762406</v>
      </c>
    </row>
    <row r="55" spans="2:7" ht="14.4" thickBot="1" x14ac:dyDescent="0.3">
      <c r="B55" s="116"/>
      <c r="C55" s="43">
        <v>2020</v>
      </c>
      <c r="D55" s="52">
        <f>4578547540*I6</f>
        <v>64900911379500</v>
      </c>
      <c r="E55" s="52">
        <f>'ROA X3'!F54</f>
        <v>106794257149125</v>
      </c>
      <c r="F55" s="44">
        <f t="shared" si="0"/>
        <v>0.60771911441711601</v>
      </c>
    </row>
    <row r="56" spans="2:7" ht="14.4" thickBot="1" x14ac:dyDescent="0.3">
      <c r="B56" s="116"/>
      <c r="C56" s="43">
        <v>2021</v>
      </c>
      <c r="D56" s="52">
        <f>4226024344*I7</f>
        <v>60601189092960</v>
      </c>
      <c r="E56" s="52">
        <f>'ROA X3'!F55</f>
        <v>107707007254680</v>
      </c>
      <c r="F56" s="44">
        <f t="shared" si="0"/>
        <v>0.5626485280541188</v>
      </c>
    </row>
    <row r="57" spans="2:7" ht="14.4" thickBot="1" x14ac:dyDescent="0.3">
      <c r="B57" s="116"/>
      <c r="C57" s="43">
        <v>2022</v>
      </c>
      <c r="D57" s="52">
        <f>3753089344*I8</f>
        <v>59332589439296</v>
      </c>
      <c r="E57" s="52">
        <f>'ROA X3'!F56</f>
        <v>113743541455438</v>
      </c>
      <c r="F57" s="44">
        <f t="shared" si="0"/>
        <v>0.52163479948038272</v>
      </c>
    </row>
    <row r="58" spans="2:7" ht="14.4" thickBot="1" x14ac:dyDescent="0.3">
      <c r="B58" s="66"/>
      <c r="C58" s="42" t="s">
        <v>219</v>
      </c>
      <c r="D58" s="50">
        <f>SUM(D53:D57)/5</f>
        <v>62321081255134.797</v>
      </c>
      <c r="E58" s="50">
        <f>SUM(E53:E57)/5</f>
        <v>109359164209582.8</v>
      </c>
      <c r="F58" s="67">
        <f>SUM(F53:F57)/5</f>
        <v>0.57001578446520806</v>
      </c>
    </row>
    <row r="59" spans="2:7" ht="14.4" thickBot="1" x14ac:dyDescent="0.3">
      <c r="B59" s="115" t="s">
        <v>156</v>
      </c>
      <c r="C59" s="43">
        <v>2018</v>
      </c>
      <c r="D59" s="52">
        <f>38383375*I4</f>
        <v>558593256375</v>
      </c>
      <c r="E59" s="52">
        <f>'ROA X3'!F58</f>
        <v>1602496711431</v>
      </c>
      <c r="F59" s="44">
        <f t="shared" si="0"/>
        <v>0.34857685035508529</v>
      </c>
      <c r="G59" s="30"/>
    </row>
    <row r="60" spans="2:7" ht="14.4" thickBot="1" x14ac:dyDescent="0.3">
      <c r="B60" s="116"/>
      <c r="C60" s="43">
        <v>2019</v>
      </c>
      <c r="D60" s="52">
        <f>54635053*I5</f>
        <v>763251690410</v>
      </c>
      <c r="E60" s="52">
        <f>'ROA X3'!F59</f>
        <v>2000483506010</v>
      </c>
      <c r="F60" s="44">
        <f t="shared" si="0"/>
        <v>0.38153360830868288</v>
      </c>
    </row>
    <row r="61" spans="2:7" ht="14.4" thickBot="1" x14ac:dyDescent="0.3">
      <c r="B61" s="116"/>
      <c r="C61" s="43">
        <v>2020</v>
      </c>
      <c r="D61" s="52">
        <f>52304997*I6</f>
        <v>741423332475</v>
      </c>
      <c r="E61" s="52">
        <f>'ROA X3'!F60</f>
        <v>2081398783275</v>
      </c>
      <c r="F61" s="44">
        <f t="shared" si="0"/>
        <v>0.35621397419498785</v>
      </c>
    </row>
    <row r="62" spans="2:7" ht="14.4" thickBot="1" x14ac:dyDescent="0.3">
      <c r="B62" s="116"/>
      <c r="C62" s="43">
        <v>2021</v>
      </c>
      <c r="D62" s="52">
        <f>46580263*I7</f>
        <v>667960971420</v>
      </c>
      <c r="E62" s="52">
        <f>'ROA X3'!F61</f>
        <v>2312126391000</v>
      </c>
      <c r="F62" s="44">
        <f t="shared" si="0"/>
        <v>0.28889466165000838</v>
      </c>
    </row>
    <row r="63" spans="2:7" ht="14.4" thickBot="1" x14ac:dyDescent="0.3">
      <c r="B63" s="116"/>
      <c r="C63" s="43">
        <v>2022</v>
      </c>
      <c r="D63" s="52">
        <f>33479337*I8</f>
        <v>529274838633</v>
      </c>
      <c r="E63" s="52">
        <f>'ROA X3'!F62</f>
        <v>2835414452623</v>
      </c>
      <c r="F63" s="44">
        <f t="shared" si="0"/>
        <v>0.18666577584217914</v>
      </c>
    </row>
    <row r="64" spans="2:7" ht="14.4" thickBot="1" x14ac:dyDescent="0.3">
      <c r="B64" s="66"/>
      <c r="C64" s="42" t="s">
        <v>219</v>
      </c>
      <c r="D64" s="50">
        <f>SUM(D59:D63)/5</f>
        <v>652100817862.59998</v>
      </c>
      <c r="E64" s="50">
        <f>SUM(E59:E63)/5</f>
        <v>2166383968867.8</v>
      </c>
      <c r="F64" s="67">
        <f>SUM(F59:F63)/5</f>
        <v>0.31237697407018866</v>
      </c>
    </row>
    <row r="65" spans="2:6" ht="14.4" thickBot="1" x14ac:dyDescent="0.3">
      <c r="B65" s="115" t="s">
        <v>162</v>
      </c>
      <c r="C65" s="43">
        <v>2018</v>
      </c>
      <c r="D65" s="52">
        <f>7903237000000</f>
        <v>7903237000000</v>
      </c>
      <c r="E65" s="52">
        <f>'ROA X3'!F64</f>
        <v>24172933000000</v>
      </c>
      <c r="F65" s="44">
        <f t="shared" si="0"/>
        <v>0.32694572065375765</v>
      </c>
    </row>
    <row r="66" spans="2:6" ht="14.4" thickBot="1" x14ac:dyDescent="0.3">
      <c r="B66" s="116"/>
      <c r="C66" s="43">
        <v>2019</v>
      </c>
      <c r="D66" s="52">
        <f>7675226000000</f>
        <v>7675226000000</v>
      </c>
      <c r="E66" s="52">
        <f>'ROA X3'!F65</f>
        <v>26098052000000</v>
      </c>
      <c r="F66" s="44">
        <f t="shared" si="0"/>
        <v>0.29409191153424019</v>
      </c>
    </row>
    <row r="67" spans="2:6" ht="14.4" thickBot="1" x14ac:dyDescent="0.3">
      <c r="B67" s="116"/>
      <c r="C67" s="43">
        <v>2020</v>
      </c>
      <c r="D67" s="52">
        <f>7117559000000</f>
        <v>7117559000000</v>
      </c>
      <c r="E67" s="52">
        <f>'ROA X3'!F66</f>
        <v>24056755000000</v>
      </c>
      <c r="F67" s="44">
        <f t="shared" si="0"/>
        <v>0.295865298540888</v>
      </c>
    </row>
    <row r="68" spans="2:6" ht="14.4" thickBot="1" x14ac:dyDescent="0.3">
      <c r="B68" s="116"/>
      <c r="C68" s="43">
        <v>2021</v>
      </c>
      <c r="D68" s="52">
        <f>11869979000000</f>
        <v>11869979000000</v>
      </c>
      <c r="E68" s="52">
        <f>'ROA X3'!F67</f>
        <v>36123703000000</v>
      </c>
      <c r="F68" s="44">
        <f t="shared" si="0"/>
        <v>0.32859253105917741</v>
      </c>
    </row>
    <row r="69" spans="2:6" ht="14.4" thickBot="1" x14ac:dyDescent="0.3">
      <c r="B69" s="116"/>
      <c r="C69" s="43">
        <v>2022</v>
      </c>
      <c r="D69" s="52">
        <f>16443161000000</f>
        <v>16443161000000</v>
      </c>
      <c r="E69" s="52">
        <f>'ROA X3'!F68</f>
        <v>45359207000000</v>
      </c>
      <c r="F69" s="44">
        <f t="shared" si="0"/>
        <v>0.3625098869122646</v>
      </c>
    </row>
    <row r="70" spans="2:6" ht="14.4" thickBot="1" x14ac:dyDescent="0.3">
      <c r="B70" s="66"/>
      <c r="C70" s="42" t="s">
        <v>219</v>
      </c>
      <c r="D70" s="50">
        <f>SUM(D65:D69)/5</f>
        <v>10201832400000</v>
      </c>
      <c r="E70" s="50">
        <f>SUM(E65:E69)/5</f>
        <v>31162130000000</v>
      </c>
      <c r="F70" s="67">
        <f>SUM(F65:F69)/5</f>
        <v>0.32160106974006564</v>
      </c>
    </row>
    <row r="71" spans="2:6" ht="14.4" thickBot="1" x14ac:dyDescent="0.3">
      <c r="B71" s="115" t="s">
        <v>168</v>
      </c>
      <c r="C71" s="43">
        <v>2018</v>
      </c>
      <c r="D71" s="52">
        <v>170348000000000</v>
      </c>
      <c r="E71" s="52">
        <f>'ROA X3'!F70</f>
        <v>344711000000000</v>
      </c>
      <c r="F71" s="44">
        <f t="shared" si="0"/>
        <v>0.49417628100060629</v>
      </c>
    </row>
    <row r="72" spans="2:6" ht="14.4" thickBot="1" x14ac:dyDescent="0.3">
      <c r="B72" s="116"/>
      <c r="C72" s="43">
        <v>2019</v>
      </c>
      <c r="D72" s="52">
        <v>14220000000000</v>
      </c>
      <c r="E72" s="52">
        <f>'ROA X3'!F71</f>
        <v>87376000000000</v>
      </c>
      <c r="F72" s="44">
        <f t="shared" si="0"/>
        <v>0.16274491851309283</v>
      </c>
    </row>
    <row r="73" spans="2:6" ht="14.4" thickBot="1" x14ac:dyDescent="0.3">
      <c r="B73" s="116"/>
      <c r="C73" s="43">
        <v>2020</v>
      </c>
      <c r="D73" s="52">
        <v>14507000000000</v>
      </c>
      <c r="E73" s="52">
        <f>'ROA X3'!F72</f>
        <v>91919000000000</v>
      </c>
      <c r="F73" s="44">
        <f t="shared" si="0"/>
        <v>0.157823736115493</v>
      </c>
    </row>
    <row r="74" spans="2:6" ht="14.4" thickBot="1" x14ac:dyDescent="0.3">
      <c r="B74" s="116"/>
      <c r="C74" s="43">
        <v>2021</v>
      </c>
      <c r="D74" s="52">
        <v>151696000000000</v>
      </c>
      <c r="E74" s="52">
        <f>'ROA X3'!F73</f>
        <v>367311000000000</v>
      </c>
      <c r="F74" s="44">
        <f t="shared" si="0"/>
        <v>0.41299062647184537</v>
      </c>
    </row>
    <row r="75" spans="2:6" ht="14.4" thickBot="1" x14ac:dyDescent="0.3">
      <c r="B75" s="116"/>
      <c r="C75" s="43">
        <v>2022</v>
      </c>
      <c r="D75" s="52">
        <v>169577000000000</v>
      </c>
      <c r="E75" s="52">
        <f>'ROA X3'!F74</f>
        <v>413297000000000</v>
      </c>
      <c r="F75" s="44">
        <f t="shared" si="0"/>
        <v>0.41030300244134366</v>
      </c>
    </row>
    <row r="76" spans="2:6" ht="14.4" thickBot="1" x14ac:dyDescent="0.3">
      <c r="B76" s="66"/>
      <c r="C76" s="42" t="s">
        <v>219</v>
      </c>
      <c r="D76" s="50">
        <f>SUM(D71:D75)/5</f>
        <v>104069600000000</v>
      </c>
      <c r="E76" s="50">
        <f>SUM(E71:E75)/5</f>
        <v>260922800000000</v>
      </c>
      <c r="F76" s="67">
        <f>SUM(F71:F75)/5</f>
        <v>0.32760771290847618</v>
      </c>
    </row>
    <row r="77" spans="2:6" ht="14.4" thickBot="1" x14ac:dyDescent="0.3">
      <c r="B77" s="115" t="s">
        <v>173</v>
      </c>
      <c r="C77" s="43">
        <v>2018</v>
      </c>
      <c r="D77" s="52">
        <v>59230338000000</v>
      </c>
      <c r="E77" s="52">
        <f>'ROA X3'!F76</f>
        <v>116281017000000</v>
      </c>
      <c r="F77" s="44">
        <f t="shared" si="0"/>
        <v>0.50937237674830449</v>
      </c>
    </row>
    <row r="78" spans="2:6" ht="14.4" thickBot="1" x14ac:dyDescent="0.3">
      <c r="B78" s="116"/>
      <c r="C78" s="43">
        <v>2019</v>
      </c>
      <c r="D78" s="52">
        <v>50603301000000</v>
      </c>
      <c r="E78" s="52">
        <f>'ROA X3'!F77</f>
        <v>111713375000000</v>
      </c>
      <c r="F78" s="44">
        <f t="shared" si="0"/>
        <v>0.45297441779017061</v>
      </c>
    </row>
    <row r="79" spans="2:6" ht="14.4" thickBot="1" x14ac:dyDescent="0.3">
      <c r="B79" s="116"/>
      <c r="C79" s="43">
        <v>2020</v>
      </c>
      <c r="D79" s="52">
        <v>36653823000000</v>
      </c>
      <c r="E79" s="52">
        <f>'ROA X3'!F78</f>
        <v>99800963000000</v>
      </c>
      <c r="F79" s="44">
        <f t="shared" si="0"/>
        <v>0.36726923166062037</v>
      </c>
    </row>
    <row r="80" spans="2:6" ht="14.4" thickBot="1" x14ac:dyDescent="0.3">
      <c r="B80" s="116"/>
      <c r="C80" s="43">
        <v>2021</v>
      </c>
      <c r="D80" s="52">
        <v>40738599000000</v>
      </c>
      <c r="E80" s="52">
        <f>'ROA X3'!F79</f>
        <v>112561356000000</v>
      </c>
      <c r="F80" s="44">
        <f t="shared" si="0"/>
        <v>0.36192349175324434</v>
      </c>
    </row>
    <row r="81" spans="2:6" ht="14.4" thickBot="1" x14ac:dyDescent="0.3">
      <c r="B81" s="116"/>
      <c r="C81" s="43">
        <v>2022</v>
      </c>
      <c r="D81" s="52">
        <v>50964395000000</v>
      </c>
      <c r="E81" s="52">
        <f>'ROA X3'!F80</f>
        <v>140478220000000</v>
      </c>
      <c r="F81" s="44">
        <f t="shared" si="0"/>
        <v>0.36279214671142618</v>
      </c>
    </row>
    <row r="82" spans="2:6" ht="14.4" thickBot="1" x14ac:dyDescent="0.3">
      <c r="B82" s="66"/>
      <c r="C82" s="42" t="s">
        <v>219</v>
      </c>
      <c r="D82" s="50">
        <f>SUM(D77:D81)/5</f>
        <v>47638091200000</v>
      </c>
      <c r="E82" s="50">
        <f>SUM(E77:E81)/5</f>
        <v>116166986200000</v>
      </c>
      <c r="F82" s="67">
        <f>SUM(F77:F81)/5</f>
        <v>0.41086633293275321</v>
      </c>
    </row>
    <row r="83" spans="2:6" ht="14.4" thickBot="1" x14ac:dyDescent="0.3">
      <c r="B83" s="115" t="s">
        <v>174</v>
      </c>
      <c r="C83" s="43">
        <v>2018</v>
      </c>
      <c r="D83" s="52">
        <v>39270856000000</v>
      </c>
      <c r="E83" s="52">
        <f>'ROA X3'!F82</f>
        <v>57613954000000</v>
      </c>
      <c r="F83" s="44">
        <f t="shared" si="0"/>
        <v>0.68162056712858143</v>
      </c>
    </row>
    <row r="84" spans="2:6" ht="14.4" thickBot="1" x14ac:dyDescent="0.3">
      <c r="B84" s="116"/>
      <c r="C84" s="43">
        <v>2019</v>
      </c>
      <c r="D84" s="52">
        <v>43603000000000</v>
      </c>
      <c r="E84" s="52">
        <f>'ROA X3'!F83</f>
        <v>62725000000000</v>
      </c>
      <c r="F84" s="44">
        <f t="shared" si="0"/>
        <v>0.69514547628537271</v>
      </c>
    </row>
    <row r="85" spans="2:6" ht="14.4" thickBot="1" x14ac:dyDescent="0.3">
      <c r="B85" s="116"/>
      <c r="C85" s="43">
        <v>2020</v>
      </c>
      <c r="D85" s="52">
        <v>48607000000000</v>
      </c>
      <c r="E85" s="52">
        <f>'ROA X3'!F84</f>
        <v>67745000000000</v>
      </c>
      <c r="F85" s="44">
        <f t="shared" si="0"/>
        <v>0.71749944645361285</v>
      </c>
    </row>
    <row r="86" spans="2:6" ht="14.4" thickBot="1" x14ac:dyDescent="0.3">
      <c r="B86" s="116"/>
      <c r="C86" s="43">
        <v>2021</v>
      </c>
      <c r="D86" s="52">
        <v>40738599000000</v>
      </c>
      <c r="E86" s="52">
        <f>'ROA X3'!F85</f>
        <v>112561356000000</v>
      </c>
      <c r="F86" s="44">
        <f t="shared" si="0"/>
        <v>0.36192349175324434</v>
      </c>
    </row>
    <row r="87" spans="2:6" ht="14.4" thickBot="1" x14ac:dyDescent="0.3">
      <c r="B87" s="116"/>
      <c r="C87" s="43">
        <v>2022</v>
      </c>
      <c r="D87" s="52">
        <v>50964395000000</v>
      </c>
      <c r="E87" s="52">
        <f>'ROA X3'!F86</f>
        <v>140478220000000</v>
      </c>
      <c r="F87" s="44">
        <f t="shared" si="0"/>
        <v>0.36279214671142618</v>
      </c>
    </row>
    <row r="88" spans="2:6" ht="14.4" thickBot="1" x14ac:dyDescent="0.3">
      <c r="B88" s="66"/>
      <c r="C88" s="42" t="s">
        <v>219</v>
      </c>
      <c r="D88" s="50">
        <f>SUM(D83:D87)/5</f>
        <v>44636770000000</v>
      </c>
      <c r="E88" s="50">
        <f>SUM(E83:E87)/5</f>
        <v>88224706000000</v>
      </c>
      <c r="F88" s="67">
        <f>SUM(F83:F87)/5</f>
        <v>0.56379622566644749</v>
      </c>
    </row>
    <row r="89" spans="2:6" ht="14.4" thickBot="1" x14ac:dyDescent="0.3">
      <c r="B89" s="115" t="s">
        <v>175</v>
      </c>
      <c r="C89" s="43">
        <v>2018</v>
      </c>
      <c r="D89" s="52">
        <v>62219614991000</v>
      </c>
      <c r="E89" s="52">
        <f>'ROA X3'!F88</f>
        <v>82418600790000</v>
      </c>
      <c r="F89" s="44">
        <f t="shared" si="0"/>
        <v>0.75492200055098746</v>
      </c>
    </row>
    <row r="90" spans="2:6" ht="14.4" thickBot="1" x14ac:dyDescent="0.3">
      <c r="B90" s="116"/>
      <c r="C90" s="43">
        <v>2019</v>
      </c>
      <c r="D90" s="52">
        <v>76493833000000</v>
      </c>
      <c r="E90" s="52">
        <f>'ROA X3'!F89</f>
        <v>99679570000000</v>
      </c>
      <c r="F90" s="44">
        <f t="shared" si="0"/>
        <v>0.76739730117214588</v>
      </c>
    </row>
    <row r="91" spans="2:6" ht="14.4" thickBot="1" x14ac:dyDescent="0.3">
      <c r="B91" s="116"/>
      <c r="C91" s="43">
        <v>2020</v>
      </c>
      <c r="D91" s="52">
        <v>79311031000000</v>
      </c>
      <c r="E91" s="52">
        <f>'ROA X3'!F90</f>
        <v>104086646000000</v>
      </c>
      <c r="F91" s="44">
        <f t="shared" si="0"/>
        <v>0.76197124268948002</v>
      </c>
    </row>
    <row r="92" spans="2:6" ht="14.4" thickBot="1" x14ac:dyDescent="0.3">
      <c r="B92" s="116"/>
      <c r="C92" s="43">
        <v>2021</v>
      </c>
      <c r="D92" s="52">
        <v>75742569000000</v>
      </c>
      <c r="E92" s="52">
        <f>'ROA X3'!F91</f>
        <v>101242884000000</v>
      </c>
      <c r="F92" s="44">
        <f t="shared" si="0"/>
        <v>0.74812733505299989</v>
      </c>
    </row>
    <row r="93" spans="2:6" ht="14.4" thickBot="1" x14ac:dyDescent="0.3">
      <c r="B93" s="116"/>
      <c r="C93" s="43">
        <v>2022</v>
      </c>
      <c r="D93" s="52">
        <v>65517793000000</v>
      </c>
      <c r="E93" s="52">
        <f>'ROA X3'!F92</f>
        <v>91139182000000</v>
      </c>
      <c r="F93" s="44">
        <f t="shared" si="0"/>
        <v>0.71887624578416776</v>
      </c>
    </row>
    <row r="94" spans="2:6" ht="14.4" thickBot="1" x14ac:dyDescent="0.3">
      <c r="B94" s="66"/>
      <c r="C94" s="42" t="s">
        <v>219</v>
      </c>
      <c r="D94" s="50">
        <f>SUM(D89:D93)/5</f>
        <v>71856968198200</v>
      </c>
      <c r="E94" s="50">
        <f>SUM(E89:E93)/5</f>
        <v>95713376558000</v>
      </c>
      <c r="F94" s="67">
        <f>SUM(F89:F93)/5</f>
        <v>0.75025882504995622</v>
      </c>
    </row>
    <row r="95" spans="2:6" ht="14.4" thickBot="1" x14ac:dyDescent="0.3">
      <c r="B95" s="115" t="s">
        <v>176</v>
      </c>
      <c r="C95" s="43">
        <v>2018</v>
      </c>
      <c r="D95" s="52">
        <v>36233538927553</v>
      </c>
      <c r="E95" s="52">
        <f>'ROA X3'!F94</f>
        <v>52549150902972</v>
      </c>
      <c r="F95" s="44">
        <f t="shared" si="0"/>
        <v>0.68951711502352275</v>
      </c>
    </row>
    <row r="96" spans="2:6" ht="14.4" thickBot="1" x14ac:dyDescent="0.3">
      <c r="B96" s="116"/>
      <c r="C96" s="43">
        <v>2019</v>
      </c>
      <c r="D96" s="52">
        <v>41118567863618</v>
      </c>
      <c r="E96" s="52">
        <f>'ROA X3'!F95</f>
        <v>56130526187076</v>
      </c>
      <c r="F96" s="44">
        <f t="shared" si="0"/>
        <v>0.73255268847070798</v>
      </c>
    </row>
    <row r="97" spans="2:6" ht="14.4" thickBot="1" x14ac:dyDescent="0.3">
      <c r="B97" s="116"/>
      <c r="C97" s="43">
        <v>2020</v>
      </c>
      <c r="D97" s="52">
        <v>39465460560026</v>
      </c>
      <c r="E97" s="52">
        <f>'ROA X3'!F96</f>
        <v>53472450650976</v>
      </c>
      <c r="F97" s="44">
        <f t="shared" si="0"/>
        <v>0.73805221342152305</v>
      </c>
    </row>
    <row r="98" spans="2:6" ht="14.4" thickBot="1" x14ac:dyDescent="0.3">
      <c r="B98" s="116"/>
      <c r="C98" s="43">
        <v>2021</v>
      </c>
      <c r="D98" s="52">
        <v>41243694054027</v>
      </c>
      <c r="E98" s="52">
        <f>'ROA X3'!F97</f>
        <v>55573843735084</v>
      </c>
      <c r="F98" s="44">
        <f t="shared" si="0"/>
        <v>0.74214218923982189</v>
      </c>
    </row>
    <row r="99" spans="2:6" ht="14.4" thickBot="1" x14ac:dyDescent="0.3">
      <c r="B99" s="116"/>
      <c r="C99" s="43">
        <v>2022</v>
      </c>
      <c r="D99" s="52">
        <v>42791330842175</v>
      </c>
      <c r="E99" s="52">
        <f>'ROA X3'!F98</f>
        <v>57612383140536</v>
      </c>
      <c r="F99" s="44">
        <f t="shared" si="0"/>
        <v>0.74274537017141851</v>
      </c>
    </row>
    <row r="100" spans="2:6" ht="14.4" thickBot="1" x14ac:dyDescent="0.3">
      <c r="B100" s="66"/>
      <c r="C100" s="42" t="s">
        <v>219</v>
      </c>
      <c r="D100" s="50">
        <f>SUM(D95:D99)/5</f>
        <v>40170518449479.797</v>
      </c>
      <c r="E100" s="50">
        <f>SUM(E95:E99)/5</f>
        <v>55067670923328.797</v>
      </c>
      <c r="F100" s="67">
        <f>SUM(F95:F99)/5</f>
        <v>0.72900191526539881</v>
      </c>
    </row>
    <row r="101" spans="2:6" ht="14.4" thickBot="1" x14ac:dyDescent="0.3">
      <c r="B101" s="115" t="s">
        <v>177</v>
      </c>
      <c r="C101" s="43">
        <v>2018</v>
      </c>
      <c r="D101" s="52">
        <v>7382445000000</v>
      </c>
      <c r="E101" s="52">
        <f>'ROA X3'!F100</f>
        <v>26856967000000</v>
      </c>
      <c r="F101" s="44">
        <f t="shared" si="0"/>
        <v>0.2748800711562106</v>
      </c>
    </row>
    <row r="102" spans="2:6" ht="14.4" thickBot="1" x14ac:dyDescent="0.3">
      <c r="B102" s="116"/>
      <c r="C102" s="43">
        <v>2019</v>
      </c>
      <c r="D102" s="52">
        <v>7995597000000</v>
      </c>
      <c r="E102" s="52">
        <f>'ROA X3'!F101</f>
        <v>26974124000000</v>
      </c>
      <c r="F102" s="44">
        <f t="shared" si="0"/>
        <v>0.29641729977959619</v>
      </c>
    </row>
    <row r="103" spans="2:6" ht="14.4" thickBot="1" x14ac:dyDescent="0.3">
      <c r="B103" s="116"/>
      <c r="C103" s="43">
        <v>2020</v>
      </c>
      <c r="D103" s="52">
        <v>8533437000000</v>
      </c>
      <c r="E103" s="52">
        <f>'ROA X3'!F102</f>
        <v>27781231000000</v>
      </c>
      <c r="F103" s="44">
        <f t="shared" si="0"/>
        <v>0.30716554640793275</v>
      </c>
    </row>
    <row r="104" spans="2:6" ht="14.4" thickBot="1" x14ac:dyDescent="0.3">
      <c r="B104" s="116"/>
      <c r="C104" s="43">
        <v>2021</v>
      </c>
      <c r="D104" s="52">
        <v>9228733000000</v>
      </c>
      <c r="E104" s="52">
        <f>'ROA X3'!F103</f>
        <v>30399906000000</v>
      </c>
      <c r="F104" s="44">
        <f t="shared" si="0"/>
        <v>0.30357768211520125</v>
      </c>
    </row>
    <row r="105" spans="2:6" ht="14.4" thickBot="1" x14ac:dyDescent="0.3">
      <c r="B105" s="116"/>
      <c r="C105" s="43">
        <v>2022</v>
      </c>
      <c r="D105" s="52">
        <v>7006119000000</v>
      </c>
      <c r="E105" s="52">
        <f>'ROA X3'!F104</f>
        <v>29249340000000</v>
      </c>
      <c r="F105" s="44">
        <f t="shared" si="0"/>
        <v>0.23953084069589262</v>
      </c>
    </row>
    <row r="106" spans="2:6" ht="14.4" thickBot="1" x14ac:dyDescent="0.3">
      <c r="B106" s="66"/>
      <c r="C106" s="42" t="s">
        <v>219</v>
      </c>
      <c r="D106" s="50">
        <f>SUM(D101:D105)/5</f>
        <v>8029266200000</v>
      </c>
      <c r="E106" s="50">
        <f>SUM(E101:E105)/5</f>
        <v>28252313600000</v>
      </c>
      <c r="F106" s="67">
        <f>SUM(F101:F105)/5</f>
        <v>0.2843142880309667</v>
      </c>
    </row>
    <row r="107" spans="2:6" ht="14.4" thickBot="1" x14ac:dyDescent="0.3">
      <c r="B107" s="115" t="s">
        <v>178</v>
      </c>
      <c r="C107" s="43">
        <v>2018</v>
      </c>
      <c r="D107" s="52">
        <v>42014686674000</v>
      </c>
      <c r="E107" s="52">
        <f>'ROA X3'!F106</f>
        <v>59230001239000</v>
      </c>
      <c r="F107" s="44">
        <f t="shared" si="0"/>
        <v>0.70934806339891521</v>
      </c>
    </row>
    <row r="108" spans="2:6" ht="14.4" thickBot="1" x14ac:dyDescent="0.3">
      <c r="B108" s="116"/>
      <c r="C108" s="43">
        <v>2019</v>
      </c>
      <c r="D108" s="52">
        <v>42895114167000</v>
      </c>
      <c r="E108" s="52">
        <f>'ROA X3'!F107</f>
        <v>62110847154000</v>
      </c>
      <c r="F108" s="44">
        <f t="shared" si="0"/>
        <v>0.69062194660852427</v>
      </c>
    </row>
    <row r="109" spans="2:6" ht="14.4" thickBot="1" x14ac:dyDescent="0.3">
      <c r="B109" s="116"/>
      <c r="C109" s="43">
        <v>2020</v>
      </c>
      <c r="D109" s="52">
        <v>51451760142000</v>
      </c>
      <c r="E109" s="52">
        <f>'ROA X3'!F108</f>
        <v>68109185213000</v>
      </c>
      <c r="F109" s="44">
        <f t="shared" si="0"/>
        <v>0.75543056316256452</v>
      </c>
    </row>
    <row r="110" spans="2:6" ht="14.4" thickBot="1" x14ac:dyDescent="0.3">
      <c r="B110" s="116"/>
      <c r="C110" s="43">
        <v>2021</v>
      </c>
      <c r="D110" s="52">
        <v>51950716634000</v>
      </c>
      <c r="E110" s="52">
        <f>'ROA X3'!F109</f>
        <v>69385794346000</v>
      </c>
      <c r="F110" s="44">
        <f t="shared" si="0"/>
        <v>0.7487226618022409</v>
      </c>
    </row>
    <row r="111" spans="2:6" ht="14.4" thickBot="1" x14ac:dyDescent="0.3">
      <c r="B111" s="116"/>
      <c r="C111" s="43">
        <v>2022</v>
      </c>
      <c r="D111" s="52">
        <v>57576398034000</v>
      </c>
      <c r="E111" s="52">
        <f>'ROA X3'!F110</f>
        <v>75069604222000</v>
      </c>
      <c r="F111" s="44">
        <f t="shared" si="0"/>
        <v>0.76697351252488133</v>
      </c>
    </row>
    <row r="112" spans="2:6" ht="14.4" thickBot="1" x14ac:dyDescent="0.3">
      <c r="B112" s="66"/>
      <c r="C112" s="42" t="s">
        <v>219</v>
      </c>
      <c r="D112" s="50">
        <f>SUM(D107:D111)/5</f>
        <v>49177735130200</v>
      </c>
      <c r="E112" s="50">
        <f>SUM(E107:E111)/5</f>
        <v>66781086434800</v>
      </c>
      <c r="F112" s="67">
        <f>SUM(F107:F111)/5</f>
        <v>0.73421934949942524</v>
      </c>
    </row>
    <row r="113" spans="2:6" ht="14.4" thickBot="1" x14ac:dyDescent="0.3">
      <c r="B113" s="115" t="s">
        <v>179</v>
      </c>
      <c r="C113" s="43">
        <v>2018</v>
      </c>
      <c r="D113" s="52">
        <v>95504462872769</v>
      </c>
      <c r="E113" s="52">
        <f>'ROA X3'!F112</f>
        <v>124391581623636</v>
      </c>
      <c r="F113" s="44">
        <f t="shared" si="0"/>
        <v>0.7677727192321665</v>
      </c>
    </row>
    <row r="114" spans="2:6" ht="14.4" thickBot="1" x14ac:dyDescent="0.3">
      <c r="B114" s="116"/>
      <c r="C114" s="43">
        <v>2019</v>
      </c>
      <c r="D114" s="52">
        <v>93470790161572</v>
      </c>
      <c r="E114" s="52">
        <f>'ROA X3'!F113</f>
        <v>122589259350571</v>
      </c>
      <c r="F114" s="44">
        <f t="shared" si="0"/>
        <v>0.76247128546777232</v>
      </c>
    </row>
    <row r="115" spans="2:6" ht="14.4" thickBot="1" x14ac:dyDescent="0.3">
      <c r="B115" s="116"/>
      <c r="C115" s="43">
        <v>2020</v>
      </c>
      <c r="D115" s="52">
        <v>89011405294715</v>
      </c>
      <c r="E115" s="52">
        <f>'ROA X3'!F114</f>
        <v>105588960060005</v>
      </c>
      <c r="F115" s="44">
        <f t="shared" si="0"/>
        <v>0.84299916623983073</v>
      </c>
    </row>
    <row r="116" spans="2:6" ht="14.4" thickBot="1" x14ac:dyDescent="0.3">
      <c r="B116" s="116"/>
      <c r="C116" s="43">
        <v>2021</v>
      </c>
      <c r="D116" s="52">
        <v>88140178639510</v>
      </c>
      <c r="E116" s="52">
        <f>'ROA X3'!F115</f>
        <v>103601611883340</v>
      </c>
      <c r="F116" s="44">
        <f t="shared" si="0"/>
        <v>0.85076068834488539</v>
      </c>
    </row>
    <row r="117" spans="2:6" ht="14.4" thickBot="1" x14ac:dyDescent="0.3">
      <c r="B117" s="116"/>
      <c r="C117" s="43">
        <v>2022</v>
      </c>
      <c r="D117" s="52">
        <v>83987631948080</v>
      </c>
      <c r="E117" s="52">
        <f>'ROA X3'!F116</f>
        <v>98232316628846</v>
      </c>
      <c r="F117" s="44">
        <f t="shared" si="0"/>
        <v>0.85498983257630878</v>
      </c>
    </row>
    <row r="118" spans="2:6" ht="14.4" thickBot="1" x14ac:dyDescent="0.3">
      <c r="B118" s="66"/>
      <c r="C118" s="42" t="s">
        <v>219</v>
      </c>
      <c r="D118" s="50">
        <f>SUM(D113:D117)/5</f>
        <v>90022893783329.203</v>
      </c>
      <c r="E118" s="50">
        <f>SUM(E113:E117)/5</f>
        <v>110880745909279.59</v>
      </c>
      <c r="F118" s="67">
        <f>SUM(F113:F117)/5</f>
        <v>0.81579873837219274</v>
      </c>
    </row>
    <row r="119" spans="2:6" ht="14.4" thickBot="1" x14ac:dyDescent="0.3">
      <c r="B119" s="115" t="s">
        <v>180</v>
      </c>
      <c r="C119" s="43">
        <v>2018</v>
      </c>
      <c r="D119" s="52">
        <f>241050000*I4</f>
        <v>3508000650000</v>
      </c>
      <c r="E119" s="52">
        <f>'ROA X3'!F118</f>
        <v>5984557425000</v>
      </c>
      <c r="F119" s="44">
        <f t="shared" si="0"/>
        <v>0.58617545139522165</v>
      </c>
    </row>
    <row r="120" spans="2:6" ht="14.4" thickBot="1" x14ac:dyDescent="0.3">
      <c r="B120" s="116"/>
      <c r="C120" s="43">
        <v>2019</v>
      </c>
      <c r="D120" s="52">
        <f>330295000*I5</f>
        <v>4614221150000</v>
      </c>
      <c r="E120" s="52">
        <f>'ROA X3'!F119</f>
        <v>6717977420000</v>
      </c>
      <c r="F120" s="44">
        <f t="shared" si="0"/>
        <v>0.68684677865440047</v>
      </c>
    </row>
    <row r="121" spans="2:6" ht="14.4" thickBot="1" x14ac:dyDescent="0.3">
      <c r="B121" s="116"/>
      <c r="C121" s="43">
        <v>2020</v>
      </c>
      <c r="D121" s="52">
        <f>310766000*I6</f>
        <v>4405108050000</v>
      </c>
      <c r="E121" s="52">
        <f>'ROA X3'!F120</f>
        <v>6586229475000</v>
      </c>
      <c r="F121" s="44">
        <f t="shared" si="0"/>
        <v>0.66883610216147227</v>
      </c>
    </row>
    <row r="122" spans="2:6" ht="14.4" thickBot="1" x14ac:dyDescent="0.3">
      <c r="B122" s="116"/>
      <c r="C122" s="43">
        <v>2021</v>
      </c>
      <c r="D122" s="52">
        <f>318674000*I7</f>
        <v>4569785160000</v>
      </c>
      <c r="E122" s="52">
        <f>'ROA X3'!F121</f>
        <v>6805032660000</v>
      </c>
      <c r="F122" s="44">
        <f t="shared" si="0"/>
        <v>0.67153023186225236</v>
      </c>
    </row>
    <row r="123" spans="2:6" ht="14.4" thickBot="1" x14ac:dyDescent="0.3">
      <c r="B123" s="116"/>
      <c r="C123" s="43">
        <v>2022</v>
      </c>
      <c r="D123" s="52">
        <f>332171000*I8</f>
        <v>5251291339000</v>
      </c>
      <c r="E123" s="52">
        <f>'ROA X3'!F122</f>
        <v>7395481818000</v>
      </c>
      <c r="F123" s="44">
        <f t="shared" si="0"/>
        <v>0.71006750719321421</v>
      </c>
    </row>
    <row r="124" spans="2:6" ht="14.4" thickBot="1" x14ac:dyDescent="0.3">
      <c r="B124" s="66"/>
      <c r="C124" s="42" t="s">
        <v>219</v>
      </c>
      <c r="D124" s="50">
        <f>SUM(D119:D123)/5</f>
        <v>4469681269800</v>
      </c>
      <c r="E124" s="50">
        <f>SUM(E119:E123)/5</f>
        <v>6697855759600</v>
      </c>
      <c r="F124" s="67">
        <f>SUM(F119:F123)/5</f>
        <v>0.66469121425331212</v>
      </c>
    </row>
    <row r="125" spans="2:6" ht="14.4" thickBot="1" x14ac:dyDescent="0.3">
      <c r="B125" s="115" t="s">
        <v>181</v>
      </c>
      <c r="C125" s="43">
        <v>2018</v>
      </c>
      <c r="D125" s="52">
        <v>4566973000000</v>
      </c>
      <c r="E125" s="52">
        <f>'ROA X3'!F124</f>
        <v>27788562000000</v>
      </c>
      <c r="F125" s="44">
        <f t="shared" si="0"/>
        <v>0.16434722314886246</v>
      </c>
    </row>
    <row r="126" spans="2:6" ht="14.4" thickBot="1" x14ac:dyDescent="0.3">
      <c r="B126" s="116"/>
      <c r="C126" s="43">
        <v>2019</v>
      </c>
      <c r="D126" s="52">
        <v>4627488000000</v>
      </c>
      <c r="E126" s="52">
        <f>'ROA X3'!F125</f>
        <v>27707749000000</v>
      </c>
      <c r="F126" s="44">
        <f t="shared" si="0"/>
        <v>0.16701060775453105</v>
      </c>
    </row>
    <row r="127" spans="2:6" ht="14.4" thickBot="1" x14ac:dyDescent="0.3">
      <c r="B127" s="116"/>
      <c r="C127" s="43">
        <v>2020</v>
      </c>
      <c r="D127" s="52">
        <v>5168424000000</v>
      </c>
      <c r="E127" s="52">
        <f>'ROA X3'!F126</f>
        <v>27344672000000</v>
      </c>
      <c r="F127" s="44">
        <f t="shared" si="0"/>
        <v>0.18901027593236444</v>
      </c>
    </row>
    <row r="128" spans="2:6" ht="14.4" thickBot="1" x14ac:dyDescent="0.3">
      <c r="B128" s="116"/>
      <c r="C128" s="43">
        <v>2021</v>
      </c>
      <c r="D128" s="52">
        <v>5515150000000</v>
      </c>
      <c r="E128" s="52">
        <f>'ROA X3'!F127</f>
        <v>26136114000000</v>
      </c>
      <c r="F128" s="44">
        <f t="shared" si="0"/>
        <v>0.21101645026494759</v>
      </c>
    </row>
    <row r="129" spans="2:6" ht="14.4" thickBot="1" x14ac:dyDescent="0.3">
      <c r="B129" s="116"/>
      <c r="C129" s="43">
        <v>2022</v>
      </c>
      <c r="D129" s="52">
        <v>6139263000000</v>
      </c>
      <c r="E129" s="52">
        <f>'ROA X3'!F128</f>
        <v>25706169000000</v>
      </c>
      <c r="F129" s="44">
        <f t="shared" si="0"/>
        <v>0.2388245016206032</v>
      </c>
    </row>
    <row r="130" spans="2:6" ht="14.4" thickBot="1" x14ac:dyDescent="0.3">
      <c r="B130" s="66"/>
      <c r="C130" s="42" t="s">
        <v>219</v>
      </c>
      <c r="D130" s="50">
        <f>SUM(D125:D129)/5</f>
        <v>5203459600000</v>
      </c>
      <c r="E130" s="50">
        <f>SUM(E125:E129)/5</f>
        <v>26936653200000</v>
      </c>
      <c r="F130" s="67">
        <f>SUM(F125:F129)/5</f>
        <v>0.19404181174426177</v>
      </c>
    </row>
    <row r="131" spans="2:6" ht="14.4" thickBot="1" x14ac:dyDescent="0.3">
      <c r="B131" s="115" t="s">
        <v>182</v>
      </c>
      <c r="C131" s="43">
        <v>2018</v>
      </c>
      <c r="D131" s="52">
        <v>12250837000000</v>
      </c>
      <c r="E131" s="52">
        <f>'ROA X3'!F130</f>
        <v>18667187000000</v>
      </c>
      <c r="F131" s="44">
        <f t="shared" si="0"/>
        <v>0.65627654557700632</v>
      </c>
    </row>
    <row r="132" spans="2:6" ht="14.4" thickBot="1" x14ac:dyDescent="0.3">
      <c r="B132" s="116"/>
      <c r="C132" s="43">
        <v>2019</v>
      </c>
      <c r="D132" s="52">
        <v>12584886000000</v>
      </c>
      <c r="E132" s="52">
        <f>'ROA X3'!F131</f>
        <v>19567498000000</v>
      </c>
      <c r="F132" s="44">
        <f t="shared" si="0"/>
        <v>0.64315253794838767</v>
      </c>
    </row>
    <row r="133" spans="2:6" ht="14.4" thickBot="1" x14ac:dyDescent="0.3">
      <c r="B133" s="116"/>
      <c r="C133" s="43">
        <v>2020</v>
      </c>
      <c r="D133" s="52">
        <v>13171946000000</v>
      </c>
      <c r="E133" s="52">
        <f>'ROA X3'!F132</f>
        <v>20738125000000</v>
      </c>
      <c r="F133" s="44">
        <f t="shared" si="0"/>
        <v>0.63515607124559237</v>
      </c>
    </row>
    <row r="134" spans="2:6" ht="14.4" thickBot="1" x14ac:dyDescent="0.3">
      <c r="B134" s="116"/>
      <c r="C134" s="43">
        <v>2021</v>
      </c>
      <c r="D134" s="52">
        <v>10291951000000</v>
      </c>
      <c r="E134" s="52">
        <f>'ROA X3'!F133</f>
        <v>21491023000000</v>
      </c>
      <c r="F134" s="44">
        <f t="shared" si="0"/>
        <v>0.47889535086347451</v>
      </c>
    </row>
    <row r="135" spans="2:6" ht="14.4" thickBot="1" x14ac:dyDescent="0.3">
      <c r="B135" s="116"/>
      <c r="C135" s="43">
        <v>2022</v>
      </c>
      <c r="D135" s="52">
        <v>9518472000000</v>
      </c>
      <c r="E135" s="52">
        <f>'ROA X3'!F134</f>
        <v>21378510000000</v>
      </c>
      <c r="F135" s="44">
        <f t="shared" si="0"/>
        <v>0.44523551922000176</v>
      </c>
    </row>
    <row r="136" spans="2:6" ht="14.4" thickBot="1" x14ac:dyDescent="0.3">
      <c r="B136" s="66"/>
      <c r="C136" s="42" t="s">
        <v>219</v>
      </c>
      <c r="D136" s="50">
        <f>SUM(D131:D135)/5</f>
        <v>11563618400000</v>
      </c>
      <c r="E136" s="50">
        <f>SUM(E131:E135)/5</f>
        <v>20368468600000</v>
      </c>
      <c r="F136" s="67">
        <f>SUM(F131:F135)/5</f>
        <v>0.57174320497089259</v>
      </c>
    </row>
    <row r="137" spans="2:6" ht="14.4" thickBot="1" x14ac:dyDescent="0.3">
      <c r="B137" s="115" t="s">
        <v>183</v>
      </c>
      <c r="C137" s="43">
        <v>2018</v>
      </c>
      <c r="D137" s="52">
        <v>25917300925196</v>
      </c>
      <c r="E137" s="52">
        <f>'ROA X3'!F136</f>
        <v>62493190581375</v>
      </c>
      <c r="F137" s="44">
        <f t="shared" si="0"/>
        <v>0.41472199905440893</v>
      </c>
    </row>
    <row r="138" spans="2:6" ht="14.4" thickBot="1" x14ac:dyDescent="0.3">
      <c r="B138" s="116"/>
      <c r="C138" s="43">
        <v>2019</v>
      </c>
      <c r="D138" s="52">
        <v>35964406789478</v>
      </c>
      <c r="E138" s="52">
        <f>'ROA X3'!F137</f>
        <v>75818614841004</v>
      </c>
      <c r="F138" s="44">
        <f t="shared" si="0"/>
        <v>0.47434797991096816</v>
      </c>
    </row>
    <row r="139" spans="2:6" ht="14.4" thickBot="1" x14ac:dyDescent="0.3">
      <c r="B139" s="116"/>
      <c r="C139" s="43">
        <v>2020</v>
      </c>
      <c r="D139" s="52">
        <v>60879800934460</v>
      </c>
      <c r="E139" s="52">
        <f>'ROA X3'!F138</f>
        <v>100740244241489</v>
      </c>
      <c r="F139" s="44">
        <f t="shared" si="0"/>
        <v>0.60432453179805945</v>
      </c>
    </row>
    <row r="140" spans="2:6" ht="14.4" thickBot="1" x14ac:dyDescent="0.3">
      <c r="B140" s="116"/>
      <c r="C140" s="43">
        <v>2021</v>
      </c>
      <c r="D140" s="52">
        <v>73944819792809</v>
      </c>
      <c r="E140" s="52">
        <f>'ROA X3'!F139</f>
        <v>114502100088563</v>
      </c>
      <c r="F140" s="44">
        <f t="shared" si="0"/>
        <v>0.64579444163570365</v>
      </c>
    </row>
    <row r="141" spans="2:6" ht="14.4" thickBot="1" x14ac:dyDescent="0.3">
      <c r="B141" s="116"/>
      <c r="C141" s="43">
        <v>2022</v>
      </c>
      <c r="D141" s="52">
        <v>75601049529224</v>
      </c>
      <c r="E141" s="52">
        <f>'ROA X3'!F140</f>
        <v>117128782653398</v>
      </c>
      <c r="F141" s="44">
        <f t="shared" si="0"/>
        <v>0.6454523629169705</v>
      </c>
    </row>
    <row r="142" spans="2:6" ht="14.4" thickBot="1" x14ac:dyDescent="0.3">
      <c r="B142" s="66"/>
      <c r="C142" s="42" t="s">
        <v>219</v>
      </c>
      <c r="D142" s="50">
        <f>SUM(D137:D141)/5</f>
        <v>54461475594233.398</v>
      </c>
      <c r="E142" s="50">
        <f>SUM(E137:E141)/5</f>
        <v>94136586481165.797</v>
      </c>
      <c r="F142" s="67">
        <f>SUM(F137:F141)/5</f>
        <v>0.55692826306322218</v>
      </c>
    </row>
    <row r="143" spans="2:6" ht="14.4" thickBot="1" x14ac:dyDescent="0.3">
      <c r="B143" s="115" t="s">
        <v>184</v>
      </c>
      <c r="C143" s="43">
        <v>2018</v>
      </c>
      <c r="D143" s="52">
        <v>8596067000000</v>
      </c>
      <c r="E143" s="52">
        <f>'ROA X3'!F142</f>
        <v>15117948000000</v>
      </c>
      <c r="F143" s="44">
        <f t="shared" si="0"/>
        <v>0.56860011689417111</v>
      </c>
    </row>
    <row r="144" spans="2:6" ht="14.4" thickBot="1" x14ac:dyDescent="0.3">
      <c r="B144" s="116"/>
      <c r="C144" s="43">
        <v>2019</v>
      </c>
      <c r="D144" s="52">
        <v>15102873000000</v>
      </c>
      <c r="E144" s="52">
        <f>'ROA X3'!F143</f>
        <v>20361278000000</v>
      </c>
      <c r="F144" s="44">
        <f t="shared" si="0"/>
        <v>0.74174484528918072</v>
      </c>
    </row>
    <row r="145" spans="2:6" ht="14.4" thickBot="1" x14ac:dyDescent="0.3">
      <c r="B145" s="116"/>
      <c r="C145" s="43">
        <v>2020</v>
      </c>
      <c r="D145" s="52">
        <v>9577564000000</v>
      </c>
      <c r="E145" s="52">
        <f>'ROA X3'!F144</f>
        <v>14517700000000</v>
      </c>
      <c r="F145" s="44">
        <f t="shared" si="0"/>
        <v>0.65971634625319442</v>
      </c>
    </row>
    <row r="146" spans="2:6" ht="14.4" thickBot="1" x14ac:dyDescent="0.3">
      <c r="B146" s="116"/>
      <c r="C146" s="43">
        <v>2021</v>
      </c>
      <c r="D146" s="52">
        <v>8382569000000</v>
      </c>
      <c r="E146" s="52">
        <f>'ROA X3'!F145</f>
        <v>14690989000000</v>
      </c>
      <c r="F146" s="44">
        <f t="shared" si="0"/>
        <v>0.57059255847240786</v>
      </c>
    </row>
    <row r="147" spans="2:6" ht="14.4" thickBot="1" x14ac:dyDescent="0.3">
      <c r="B147" s="116"/>
      <c r="C147" s="43">
        <v>2022</v>
      </c>
      <c r="D147" s="52">
        <v>6025073000000</v>
      </c>
      <c r="E147" s="52">
        <f>'ROA X3'!F146</f>
        <v>13066976000000</v>
      </c>
      <c r="F147" s="44">
        <f t="shared" si="0"/>
        <v>0.4610916098720928</v>
      </c>
    </row>
    <row r="148" spans="2:6" ht="14.4" thickBot="1" x14ac:dyDescent="0.3">
      <c r="B148" s="66"/>
      <c r="C148" s="42" t="s">
        <v>219</v>
      </c>
      <c r="D148" s="50">
        <f>SUM(D143:D147)/5</f>
        <v>9536829200000</v>
      </c>
      <c r="E148" s="50">
        <f>SUM(E143:E147)/5</f>
        <v>15550978200000</v>
      </c>
      <c r="F148" s="67">
        <f>SUM(F143:F147)/5</f>
        <v>0.60034909535620939</v>
      </c>
    </row>
    <row r="149" spans="2:6" ht="14.4" thickBot="1" x14ac:dyDescent="0.3">
      <c r="B149" s="115" t="s">
        <v>185</v>
      </c>
      <c r="C149" s="43">
        <v>2018</v>
      </c>
      <c r="D149" s="52">
        <v>7340075399350</v>
      </c>
      <c r="E149" s="52">
        <f>'ROA X3'!F148</f>
        <v>15222388589814</v>
      </c>
      <c r="F149" s="44">
        <f t="shared" si="0"/>
        <v>0.48218946429087889</v>
      </c>
    </row>
    <row r="150" spans="2:6" ht="14.4" thickBot="1" x14ac:dyDescent="0.3">
      <c r="B150" s="116"/>
      <c r="C150" s="43">
        <v>2019</v>
      </c>
      <c r="D150" s="52">
        <v>8014571097975</v>
      </c>
      <c r="E150" s="52">
        <f>'ROA X3'!F149</f>
        <v>16149121684330</v>
      </c>
      <c r="F150" s="44">
        <f t="shared" si="0"/>
        <v>0.4962852627305292</v>
      </c>
    </row>
    <row r="151" spans="2:6" ht="14.4" thickBot="1" x14ac:dyDescent="0.3">
      <c r="B151" s="116"/>
      <c r="C151" s="43">
        <v>2020</v>
      </c>
      <c r="D151" s="52">
        <v>9400121261159</v>
      </c>
      <c r="E151" s="52">
        <f>'ROA X3'!F150</f>
        <v>10557550739243</v>
      </c>
      <c r="F151" s="44">
        <f t="shared" si="0"/>
        <v>0.89036950835748574</v>
      </c>
    </row>
    <row r="152" spans="2:6" ht="14.4" thickBot="1" x14ac:dyDescent="0.3">
      <c r="B152" s="116"/>
      <c r="C152" s="43">
        <v>2021</v>
      </c>
      <c r="D152" s="52">
        <v>9660606347159</v>
      </c>
      <c r="E152" s="52">
        <f>'ROA X3'!F151</f>
        <v>6882077282159</v>
      </c>
      <c r="F152" s="44">
        <f t="shared" si="0"/>
        <v>1.4037340691019293</v>
      </c>
    </row>
    <row r="153" spans="2:6" ht="14.4" thickBot="1" x14ac:dyDescent="0.3">
      <c r="B153" s="116"/>
      <c r="C153" s="43">
        <v>2022</v>
      </c>
      <c r="D153" s="52">
        <v>8066866451302</v>
      </c>
      <c r="E153" s="52">
        <f>'ROA X3'!F152</f>
        <v>5963657951878</v>
      </c>
      <c r="F153" s="44">
        <f t="shared" si="0"/>
        <v>1.352670880254238</v>
      </c>
    </row>
    <row r="154" spans="2:6" ht="14.4" thickBot="1" x14ac:dyDescent="0.3">
      <c r="B154" s="66"/>
      <c r="C154" s="42" t="s">
        <v>219</v>
      </c>
      <c r="D154" s="50">
        <f>SUM(D149:D153)/5</f>
        <v>8496448111389</v>
      </c>
      <c r="E154" s="50">
        <f>SUM(E149:E153)/5</f>
        <v>10954959249484.801</v>
      </c>
      <c r="F154" s="67">
        <f>SUM(F149:F153)/5</f>
        <v>0.92504983694701226</v>
      </c>
    </row>
    <row r="155" spans="2:6" ht="14.4" thickBot="1" x14ac:dyDescent="0.3">
      <c r="B155" s="115" t="s">
        <v>186</v>
      </c>
      <c r="C155" s="43">
        <v>2018</v>
      </c>
      <c r="D155" s="52">
        <v>5744966289467</v>
      </c>
      <c r="E155" s="52">
        <f>'ROA X3'!F154</f>
        <v>8881778299672</v>
      </c>
      <c r="F155" s="44">
        <f t="shared" si="0"/>
        <v>0.64682613049226401</v>
      </c>
    </row>
    <row r="156" spans="2:6" ht="14.4" thickBot="1" x14ac:dyDescent="0.3">
      <c r="B156" s="116"/>
      <c r="C156" s="43">
        <v>2019</v>
      </c>
      <c r="D156" s="52">
        <v>6829449147200</v>
      </c>
      <c r="E156" s="52">
        <f>'ROA X3'!F155</f>
        <v>10337895087207</v>
      </c>
      <c r="F156" s="44">
        <f t="shared" si="0"/>
        <v>0.66062279502636345</v>
      </c>
    </row>
    <row r="157" spans="2:6" ht="14.4" thickBot="1" x14ac:dyDescent="0.3">
      <c r="B157" s="116"/>
      <c r="C157" s="43">
        <v>2020</v>
      </c>
      <c r="D157" s="52">
        <v>5118444300470</v>
      </c>
      <c r="E157" s="52">
        <f>'ROA X3'!F156</f>
        <v>8509017299594</v>
      </c>
      <c r="F157" s="44">
        <f t="shared" si="0"/>
        <v>0.6015317774373572</v>
      </c>
    </row>
    <row r="158" spans="2:6" ht="14.4" thickBot="1" x14ac:dyDescent="0.3">
      <c r="B158" s="116"/>
      <c r="C158" s="43">
        <v>2021</v>
      </c>
      <c r="D158" s="52">
        <v>5597700106779</v>
      </c>
      <c r="E158" s="52">
        <f>'ROA X3'!F157</f>
        <v>9082511044439</v>
      </c>
      <c r="F158" s="44">
        <f t="shared" si="0"/>
        <v>0.61631635561911435</v>
      </c>
    </row>
    <row r="159" spans="2:6" ht="14.4" thickBot="1" x14ac:dyDescent="0.3">
      <c r="B159" s="116"/>
      <c r="C159" s="43">
        <v>2022</v>
      </c>
      <c r="D159" s="52">
        <v>5809708177850</v>
      </c>
      <c r="E159" s="52">
        <f>'ROA X3'!F158</f>
        <v>9447528704261</v>
      </c>
      <c r="F159" s="44">
        <f t="shared" si="0"/>
        <v>0.61494475007307681</v>
      </c>
    </row>
    <row r="160" spans="2:6" ht="14.4" thickBot="1" x14ac:dyDescent="0.3">
      <c r="B160" s="66"/>
      <c r="C160" s="42" t="s">
        <v>219</v>
      </c>
      <c r="D160" s="50">
        <f>SUM(D155:D159)/5</f>
        <v>5820053604353.2002</v>
      </c>
      <c r="E160" s="50">
        <f>SUM(E155:E159)/5</f>
        <v>9251746087034.5996</v>
      </c>
      <c r="F160" s="67">
        <f>SUM(F155:F159)/5</f>
        <v>0.62804836172963519</v>
      </c>
    </row>
    <row r="161" spans="4:6" ht="13.2" x14ac:dyDescent="0.25">
      <c r="D161" s="25"/>
      <c r="E161" s="25"/>
      <c r="F161" s="28"/>
    </row>
    <row r="162" spans="4:6" ht="13.2" x14ac:dyDescent="0.25">
      <c r="D162" s="25"/>
      <c r="E162" s="25"/>
      <c r="F162" s="28"/>
    </row>
    <row r="163" spans="4:6" ht="13.2" x14ac:dyDescent="0.25">
      <c r="D163" s="25"/>
      <c r="E163" s="25"/>
      <c r="F163" s="28"/>
    </row>
    <row r="164" spans="4:6" ht="13.2" x14ac:dyDescent="0.25">
      <c r="D164" s="25"/>
      <c r="E164" s="25"/>
      <c r="F164" s="28"/>
    </row>
    <row r="165" spans="4:6" ht="13.2" x14ac:dyDescent="0.25">
      <c r="D165" s="25"/>
      <c r="E165" s="25"/>
      <c r="F165" s="28"/>
    </row>
    <row r="166" spans="4:6" ht="13.2" x14ac:dyDescent="0.25">
      <c r="D166" s="25"/>
      <c r="E166" s="25"/>
      <c r="F166" s="28"/>
    </row>
    <row r="167" spans="4:6" ht="13.2" x14ac:dyDescent="0.25">
      <c r="D167" s="25"/>
      <c r="E167" s="25"/>
      <c r="F167" s="28"/>
    </row>
    <row r="168" spans="4:6" ht="13.2" x14ac:dyDescent="0.25">
      <c r="D168" s="25"/>
      <c r="E168" s="25"/>
      <c r="F168" s="28"/>
    </row>
    <row r="169" spans="4:6" ht="13.2" x14ac:dyDescent="0.25">
      <c r="D169" s="25"/>
      <c r="E169" s="25"/>
      <c r="F169" s="28"/>
    </row>
    <row r="170" spans="4:6" ht="13.2" x14ac:dyDescent="0.25">
      <c r="D170" s="25"/>
      <c r="E170" s="25"/>
      <c r="F170" s="28"/>
    </row>
    <row r="171" spans="4:6" ht="13.2" x14ac:dyDescent="0.25">
      <c r="D171" s="25"/>
      <c r="E171" s="25"/>
      <c r="F171" s="28"/>
    </row>
    <row r="172" spans="4:6" ht="13.2" x14ac:dyDescent="0.25">
      <c r="D172" s="25"/>
      <c r="E172" s="25"/>
      <c r="F172" s="28"/>
    </row>
    <row r="173" spans="4:6" ht="13.2" x14ac:dyDescent="0.25">
      <c r="D173" s="25"/>
      <c r="E173" s="25"/>
      <c r="F173" s="28"/>
    </row>
    <row r="174" spans="4:6" ht="13.2" x14ac:dyDescent="0.25">
      <c r="D174" s="25"/>
      <c r="E174" s="25"/>
      <c r="F174" s="28"/>
    </row>
    <row r="175" spans="4:6" ht="13.2" x14ac:dyDescent="0.25">
      <c r="D175" s="25"/>
      <c r="E175" s="25"/>
      <c r="F175" s="28"/>
    </row>
    <row r="176" spans="4:6" ht="13.2" x14ac:dyDescent="0.25">
      <c r="D176" s="25"/>
      <c r="E176" s="25"/>
      <c r="F176" s="28"/>
    </row>
    <row r="177" spans="4:6" ht="13.2" x14ac:dyDescent="0.25">
      <c r="D177" s="25"/>
      <c r="E177" s="25"/>
      <c r="F177" s="28"/>
    </row>
    <row r="178" spans="4:6" ht="13.2" x14ac:dyDescent="0.25">
      <c r="D178" s="25"/>
      <c r="E178" s="25"/>
      <c r="F178" s="28"/>
    </row>
    <row r="179" spans="4:6" ht="13.2" x14ac:dyDescent="0.25">
      <c r="D179" s="25"/>
      <c r="E179" s="25"/>
      <c r="F179" s="28"/>
    </row>
    <row r="180" spans="4:6" ht="13.2" x14ac:dyDescent="0.25">
      <c r="D180" s="25"/>
      <c r="E180" s="25"/>
      <c r="F180" s="28"/>
    </row>
    <row r="181" spans="4:6" ht="13.2" x14ac:dyDescent="0.25">
      <c r="D181" s="25"/>
      <c r="E181" s="25"/>
      <c r="F181" s="28"/>
    </row>
    <row r="182" spans="4:6" ht="13.2" x14ac:dyDescent="0.25">
      <c r="D182" s="25"/>
      <c r="E182" s="25"/>
      <c r="F182" s="28"/>
    </row>
    <row r="183" spans="4:6" ht="13.2" x14ac:dyDescent="0.25">
      <c r="D183" s="25"/>
      <c r="E183" s="25"/>
      <c r="F183" s="28"/>
    </row>
    <row r="184" spans="4:6" ht="13.2" x14ac:dyDescent="0.25">
      <c r="D184" s="25"/>
      <c r="E184" s="25"/>
      <c r="F184" s="28"/>
    </row>
    <row r="185" spans="4:6" ht="13.2" x14ac:dyDescent="0.25">
      <c r="D185" s="25"/>
      <c r="E185" s="25"/>
      <c r="F185" s="28"/>
    </row>
    <row r="186" spans="4:6" ht="13.2" x14ac:dyDescent="0.25">
      <c r="D186" s="25"/>
      <c r="E186" s="25"/>
      <c r="F186" s="28"/>
    </row>
    <row r="187" spans="4:6" ht="13.2" x14ac:dyDescent="0.25">
      <c r="D187" s="25"/>
      <c r="E187" s="25"/>
      <c r="F187" s="28"/>
    </row>
    <row r="188" spans="4:6" ht="13.2" x14ac:dyDescent="0.25">
      <c r="D188" s="25"/>
      <c r="E188" s="25"/>
      <c r="F188" s="28"/>
    </row>
    <row r="189" spans="4:6" ht="13.2" x14ac:dyDescent="0.25">
      <c r="D189" s="25"/>
      <c r="E189" s="25"/>
      <c r="F189" s="28"/>
    </row>
    <row r="190" spans="4:6" ht="13.2" x14ac:dyDescent="0.25">
      <c r="D190" s="25"/>
      <c r="E190" s="25"/>
      <c r="F190" s="28"/>
    </row>
    <row r="191" spans="4:6" ht="13.2" x14ac:dyDescent="0.25">
      <c r="D191" s="25"/>
      <c r="E191" s="25"/>
      <c r="F191" s="28"/>
    </row>
    <row r="192" spans="4:6" ht="13.2" x14ac:dyDescent="0.25">
      <c r="D192" s="25"/>
      <c r="E192" s="25"/>
      <c r="F192" s="28"/>
    </row>
    <row r="193" spans="4:6" ht="13.2" x14ac:dyDescent="0.25">
      <c r="D193" s="25"/>
      <c r="E193" s="25"/>
      <c r="F193" s="28"/>
    </row>
    <row r="194" spans="4:6" ht="13.2" x14ac:dyDescent="0.25">
      <c r="D194" s="25"/>
      <c r="E194" s="25"/>
      <c r="F194" s="28"/>
    </row>
    <row r="195" spans="4:6" ht="13.2" x14ac:dyDescent="0.25">
      <c r="D195" s="25"/>
      <c r="E195" s="25"/>
      <c r="F195" s="28"/>
    </row>
    <row r="196" spans="4:6" ht="13.2" x14ac:dyDescent="0.25">
      <c r="D196" s="25"/>
      <c r="E196" s="25"/>
      <c r="F196" s="28"/>
    </row>
    <row r="197" spans="4:6" ht="13.2" x14ac:dyDescent="0.25">
      <c r="D197" s="25"/>
      <c r="E197" s="25"/>
      <c r="F197" s="28"/>
    </row>
    <row r="198" spans="4:6" ht="13.2" x14ac:dyDescent="0.25">
      <c r="D198" s="25"/>
      <c r="E198" s="25"/>
      <c r="F198" s="28"/>
    </row>
    <row r="199" spans="4:6" ht="13.2" x14ac:dyDescent="0.25">
      <c r="D199" s="25"/>
      <c r="E199" s="25"/>
      <c r="F199" s="28"/>
    </row>
    <row r="200" spans="4:6" ht="13.2" x14ac:dyDescent="0.25">
      <c r="D200" s="25"/>
      <c r="E200" s="25"/>
      <c r="F200" s="28"/>
    </row>
    <row r="201" spans="4:6" ht="13.2" x14ac:dyDescent="0.25">
      <c r="D201" s="25"/>
      <c r="E201" s="25"/>
      <c r="F201" s="28"/>
    </row>
    <row r="202" spans="4:6" ht="13.2" x14ac:dyDescent="0.25">
      <c r="D202" s="25"/>
      <c r="E202" s="25"/>
      <c r="F202" s="28"/>
    </row>
    <row r="203" spans="4:6" ht="13.2" x14ac:dyDescent="0.25">
      <c r="D203" s="25"/>
      <c r="E203" s="25"/>
      <c r="F203" s="28"/>
    </row>
    <row r="204" spans="4:6" ht="13.2" x14ac:dyDescent="0.25">
      <c r="D204" s="25"/>
      <c r="E204" s="25"/>
      <c r="F204" s="28"/>
    </row>
    <row r="205" spans="4:6" ht="13.2" x14ac:dyDescent="0.25">
      <c r="D205" s="25"/>
      <c r="E205" s="25"/>
      <c r="F205" s="28"/>
    </row>
    <row r="206" spans="4:6" ht="13.2" x14ac:dyDescent="0.25">
      <c r="D206" s="25"/>
      <c r="E206" s="25"/>
      <c r="F206" s="28"/>
    </row>
    <row r="207" spans="4:6" ht="13.2" x14ac:dyDescent="0.25">
      <c r="D207" s="25"/>
      <c r="E207" s="25"/>
      <c r="F207" s="28"/>
    </row>
    <row r="208" spans="4:6" ht="13.2" x14ac:dyDescent="0.25">
      <c r="D208" s="25"/>
      <c r="E208" s="25"/>
      <c r="F208" s="28"/>
    </row>
    <row r="209" spans="4:6" ht="13.2" x14ac:dyDescent="0.25">
      <c r="D209" s="25"/>
      <c r="E209" s="25"/>
      <c r="F209" s="28"/>
    </row>
    <row r="210" spans="4:6" ht="13.2" x14ac:dyDescent="0.25">
      <c r="D210" s="25"/>
      <c r="E210" s="25"/>
      <c r="F210" s="28"/>
    </row>
    <row r="211" spans="4:6" ht="13.2" x14ac:dyDescent="0.25">
      <c r="D211" s="25"/>
      <c r="E211" s="25"/>
      <c r="F211" s="28"/>
    </row>
    <row r="212" spans="4:6" ht="13.2" x14ac:dyDescent="0.25">
      <c r="D212" s="25"/>
      <c r="E212" s="25"/>
      <c r="F212" s="28"/>
    </row>
    <row r="213" spans="4:6" ht="13.2" x14ac:dyDescent="0.25">
      <c r="D213" s="25"/>
      <c r="E213" s="25"/>
      <c r="F213" s="28"/>
    </row>
    <row r="214" spans="4:6" ht="13.2" x14ac:dyDescent="0.25">
      <c r="D214" s="25"/>
      <c r="E214" s="25"/>
      <c r="F214" s="28"/>
    </row>
    <row r="215" spans="4:6" ht="13.2" x14ac:dyDescent="0.25">
      <c r="D215" s="25"/>
      <c r="E215" s="25"/>
      <c r="F215" s="28"/>
    </row>
    <row r="216" spans="4:6" ht="13.2" x14ac:dyDescent="0.25">
      <c r="D216" s="25"/>
      <c r="E216" s="25"/>
      <c r="F216" s="28"/>
    </row>
    <row r="217" spans="4:6" ht="13.2" x14ac:dyDescent="0.25">
      <c r="D217" s="25"/>
      <c r="E217" s="25"/>
      <c r="F217" s="28"/>
    </row>
    <row r="218" spans="4:6" ht="13.2" x14ac:dyDescent="0.25">
      <c r="D218" s="25"/>
      <c r="E218" s="25"/>
      <c r="F218" s="28"/>
    </row>
    <row r="219" spans="4:6" ht="13.2" x14ac:dyDescent="0.25">
      <c r="D219" s="25"/>
      <c r="E219" s="25"/>
      <c r="F219" s="28"/>
    </row>
    <row r="220" spans="4:6" ht="13.2" x14ac:dyDescent="0.25">
      <c r="D220" s="25"/>
      <c r="E220" s="25"/>
      <c r="F220" s="28"/>
    </row>
    <row r="221" spans="4:6" ht="13.2" x14ac:dyDescent="0.25">
      <c r="D221" s="25"/>
      <c r="E221" s="25"/>
      <c r="F221" s="28"/>
    </row>
    <row r="222" spans="4:6" ht="13.2" x14ac:dyDescent="0.25">
      <c r="D222" s="25"/>
      <c r="E222" s="25"/>
      <c r="F222" s="28"/>
    </row>
    <row r="223" spans="4:6" ht="13.2" x14ac:dyDescent="0.25">
      <c r="D223" s="25"/>
      <c r="E223" s="25"/>
      <c r="F223" s="28"/>
    </row>
    <row r="224" spans="4:6" ht="13.2" x14ac:dyDescent="0.25">
      <c r="D224" s="25"/>
      <c r="E224" s="25"/>
      <c r="F224" s="28"/>
    </row>
    <row r="225" spans="4:6" ht="13.2" x14ac:dyDescent="0.25">
      <c r="D225" s="25"/>
      <c r="E225" s="25"/>
      <c r="F225" s="28"/>
    </row>
    <row r="226" spans="4:6" ht="13.2" x14ac:dyDescent="0.25">
      <c r="D226" s="25"/>
      <c r="E226" s="25"/>
      <c r="F226" s="28"/>
    </row>
    <row r="227" spans="4:6" ht="13.2" x14ac:dyDescent="0.25">
      <c r="D227" s="25"/>
      <c r="E227" s="25"/>
      <c r="F227" s="28"/>
    </row>
    <row r="228" spans="4:6" ht="13.2" x14ac:dyDescent="0.25">
      <c r="D228" s="25"/>
      <c r="E228" s="25"/>
      <c r="F228" s="28"/>
    </row>
    <row r="229" spans="4:6" ht="13.2" x14ac:dyDescent="0.25">
      <c r="D229" s="25"/>
      <c r="E229" s="25"/>
      <c r="F229" s="28"/>
    </row>
    <row r="230" spans="4:6" ht="13.2" x14ac:dyDescent="0.25">
      <c r="D230" s="25"/>
      <c r="E230" s="25"/>
      <c r="F230" s="28"/>
    </row>
    <row r="231" spans="4:6" ht="13.2" x14ac:dyDescent="0.25">
      <c r="D231" s="25"/>
      <c r="E231" s="25"/>
      <c r="F231" s="28"/>
    </row>
    <row r="232" spans="4:6" ht="13.2" x14ac:dyDescent="0.25">
      <c r="D232" s="25"/>
      <c r="E232" s="25"/>
      <c r="F232" s="28"/>
    </row>
    <row r="233" spans="4:6" ht="13.2" x14ac:dyDescent="0.25">
      <c r="D233" s="25"/>
      <c r="E233" s="25"/>
      <c r="F233" s="28"/>
    </row>
    <row r="234" spans="4:6" ht="13.2" x14ac:dyDescent="0.25">
      <c r="D234" s="25"/>
      <c r="E234" s="25"/>
      <c r="F234" s="28"/>
    </row>
    <row r="235" spans="4:6" ht="13.2" x14ac:dyDescent="0.25">
      <c r="D235" s="25"/>
      <c r="E235" s="25"/>
      <c r="F235" s="28"/>
    </row>
    <row r="236" spans="4:6" ht="13.2" x14ac:dyDescent="0.25">
      <c r="D236" s="25"/>
      <c r="E236" s="25"/>
      <c r="F236" s="28"/>
    </row>
    <row r="237" spans="4:6" ht="13.2" x14ac:dyDescent="0.25">
      <c r="D237" s="25"/>
      <c r="E237" s="25"/>
      <c r="F237" s="28"/>
    </row>
    <row r="238" spans="4:6" ht="13.2" x14ac:dyDescent="0.25">
      <c r="D238" s="25"/>
      <c r="E238" s="25"/>
      <c r="F238" s="28"/>
    </row>
    <row r="239" spans="4:6" ht="13.2" x14ac:dyDescent="0.25">
      <c r="D239" s="25"/>
      <c r="E239" s="25"/>
      <c r="F239" s="28"/>
    </row>
    <row r="240" spans="4:6" ht="13.2" x14ac:dyDescent="0.25">
      <c r="D240" s="25"/>
      <c r="E240" s="25"/>
      <c r="F240" s="28"/>
    </row>
    <row r="241" spans="4:6" ht="13.2" x14ac:dyDescent="0.25">
      <c r="D241" s="25"/>
      <c r="E241" s="25"/>
      <c r="F241" s="28"/>
    </row>
    <row r="242" spans="4:6" ht="13.2" x14ac:dyDescent="0.25">
      <c r="D242" s="25"/>
      <c r="E242" s="25"/>
      <c r="F242" s="28"/>
    </row>
    <row r="243" spans="4:6" ht="13.2" x14ac:dyDescent="0.25">
      <c r="D243" s="25"/>
      <c r="E243" s="25"/>
      <c r="F243" s="28"/>
    </row>
    <row r="244" spans="4:6" ht="13.2" x14ac:dyDescent="0.25">
      <c r="D244" s="25"/>
      <c r="E244" s="25"/>
      <c r="F244" s="28"/>
    </row>
    <row r="245" spans="4:6" ht="13.2" x14ac:dyDescent="0.25">
      <c r="D245" s="25"/>
      <c r="E245" s="25"/>
      <c r="F245" s="28"/>
    </row>
    <row r="246" spans="4:6" ht="13.2" x14ac:dyDescent="0.25">
      <c r="D246" s="25"/>
      <c r="E246" s="25"/>
      <c r="F246" s="28"/>
    </row>
    <row r="247" spans="4:6" ht="13.2" x14ac:dyDescent="0.25">
      <c r="D247" s="25"/>
      <c r="E247" s="25"/>
      <c r="F247" s="28"/>
    </row>
    <row r="248" spans="4:6" ht="13.2" x14ac:dyDescent="0.25">
      <c r="D248" s="25"/>
      <c r="E248" s="25"/>
      <c r="F248" s="28"/>
    </row>
    <row r="249" spans="4:6" ht="13.2" x14ac:dyDescent="0.25">
      <c r="D249" s="25"/>
      <c r="E249" s="25"/>
      <c r="F249" s="28"/>
    </row>
    <row r="250" spans="4:6" ht="13.2" x14ac:dyDescent="0.25">
      <c r="D250" s="25"/>
      <c r="E250" s="25"/>
      <c r="F250" s="28"/>
    </row>
    <row r="251" spans="4:6" ht="13.2" x14ac:dyDescent="0.25">
      <c r="D251" s="25"/>
      <c r="E251" s="25"/>
      <c r="F251" s="28"/>
    </row>
    <row r="252" spans="4:6" ht="13.2" x14ac:dyDescent="0.25">
      <c r="D252" s="25"/>
      <c r="E252" s="25"/>
      <c r="F252" s="28"/>
    </row>
    <row r="253" spans="4:6" ht="13.2" x14ac:dyDescent="0.25">
      <c r="D253" s="25"/>
      <c r="E253" s="25"/>
      <c r="F253" s="28"/>
    </row>
    <row r="254" spans="4:6" ht="13.2" x14ac:dyDescent="0.25">
      <c r="D254" s="25"/>
      <c r="E254" s="25"/>
      <c r="F254" s="28"/>
    </row>
    <row r="255" spans="4:6" ht="13.2" x14ac:dyDescent="0.25">
      <c r="D255" s="25"/>
      <c r="E255" s="25"/>
      <c r="F255" s="28"/>
    </row>
    <row r="256" spans="4:6" ht="13.2" x14ac:dyDescent="0.25">
      <c r="D256" s="25"/>
      <c r="E256" s="25"/>
      <c r="F256" s="28"/>
    </row>
    <row r="257" spans="4:6" ht="13.2" x14ac:dyDescent="0.25">
      <c r="D257" s="25"/>
      <c r="E257" s="25"/>
      <c r="F257" s="28"/>
    </row>
    <row r="258" spans="4:6" ht="13.2" x14ac:dyDescent="0.25">
      <c r="D258" s="25"/>
      <c r="E258" s="25"/>
      <c r="F258" s="28"/>
    </row>
    <row r="259" spans="4:6" ht="13.2" x14ac:dyDescent="0.25">
      <c r="D259" s="25"/>
      <c r="E259" s="25"/>
      <c r="F259" s="28"/>
    </row>
    <row r="260" spans="4:6" ht="13.2" x14ac:dyDescent="0.25">
      <c r="D260" s="25"/>
      <c r="E260" s="25"/>
      <c r="F260" s="28"/>
    </row>
    <row r="261" spans="4:6" ht="13.2" x14ac:dyDescent="0.25">
      <c r="D261" s="25"/>
      <c r="E261" s="25"/>
      <c r="F261" s="28"/>
    </row>
    <row r="262" spans="4:6" ht="13.2" x14ac:dyDescent="0.25">
      <c r="D262" s="25"/>
      <c r="E262" s="25"/>
      <c r="F262" s="28"/>
    </row>
    <row r="263" spans="4:6" ht="13.2" x14ac:dyDescent="0.25">
      <c r="D263" s="25"/>
      <c r="E263" s="25"/>
      <c r="F263" s="28"/>
    </row>
    <row r="264" spans="4:6" ht="13.2" x14ac:dyDescent="0.25">
      <c r="D264" s="25"/>
      <c r="E264" s="25"/>
      <c r="F264" s="28"/>
    </row>
    <row r="265" spans="4:6" ht="13.2" x14ac:dyDescent="0.25">
      <c r="D265" s="25"/>
      <c r="E265" s="25"/>
      <c r="F265" s="28"/>
    </row>
    <row r="266" spans="4:6" ht="13.2" x14ac:dyDescent="0.25">
      <c r="D266" s="25"/>
      <c r="E266" s="25"/>
      <c r="F266" s="28"/>
    </row>
    <row r="267" spans="4:6" ht="13.2" x14ac:dyDescent="0.25">
      <c r="D267" s="25"/>
      <c r="E267" s="25"/>
      <c r="F267" s="28"/>
    </row>
    <row r="268" spans="4:6" ht="13.2" x14ac:dyDescent="0.25">
      <c r="D268" s="25"/>
      <c r="E268" s="25"/>
      <c r="F268" s="28"/>
    </row>
    <row r="269" spans="4:6" ht="13.2" x14ac:dyDescent="0.25">
      <c r="D269" s="25"/>
      <c r="E269" s="25"/>
      <c r="F269" s="28"/>
    </row>
    <row r="270" spans="4:6" ht="13.2" x14ac:dyDescent="0.25">
      <c r="D270" s="25"/>
      <c r="E270" s="25"/>
      <c r="F270" s="28"/>
    </row>
    <row r="271" spans="4:6" ht="13.2" x14ac:dyDescent="0.25">
      <c r="D271" s="25"/>
      <c r="E271" s="25"/>
      <c r="F271" s="28"/>
    </row>
    <row r="272" spans="4:6" ht="13.2" x14ac:dyDescent="0.25">
      <c r="D272" s="25"/>
      <c r="E272" s="25"/>
      <c r="F272" s="28"/>
    </row>
    <row r="273" spans="4:6" ht="13.2" x14ac:dyDescent="0.25">
      <c r="D273" s="25"/>
      <c r="E273" s="25"/>
      <c r="F273" s="28"/>
    </row>
    <row r="274" spans="4:6" ht="13.2" x14ac:dyDescent="0.25">
      <c r="D274" s="25"/>
      <c r="E274" s="25"/>
      <c r="F274" s="28"/>
    </row>
    <row r="275" spans="4:6" ht="13.2" x14ac:dyDescent="0.25">
      <c r="D275" s="25"/>
      <c r="E275" s="25"/>
      <c r="F275" s="28"/>
    </row>
    <row r="276" spans="4:6" ht="13.2" x14ac:dyDescent="0.25">
      <c r="D276" s="25"/>
      <c r="E276" s="25"/>
      <c r="F276" s="28"/>
    </row>
    <row r="277" spans="4:6" ht="13.2" x14ac:dyDescent="0.25">
      <c r="D277" s="25"/>
      <c r="E277" s="25"/>
      <c r="F277" s="28"/>
    </row>
    <row r="278" spans="4:6" ht="13.2" x14ac:dyDescent="0.25">
      <c r="D278" s="25"/>
      <c r="E278" s="25"/>
      <c r="F278" s="28"/>
    </row>
    <row r="279" spans="4:6" ht="13.2" x14ac:dyDescent="0.25">
      <c r="D279" s="25"/>
      <c r="E279" s="25"/>
      <c r="F279" s="28"/>
    </row>
    <row r="280" spans="4:6" ht="13.2" x14ac:dyDescent="0.25">
      <c r="D280" s="25"/>
      <c r="E280" s="25"/>
      <c r="F280" s="28"/>
    </row>
    <row r="281" spans="4:6" ht="13.2" x14ac:dyDescent="0.25">
      <c r="D281" s="25"/>
      <c r="E281" s="25"/>
      <c r="F281" s="28"/>
    </row>
    <row r="282" spans="4:6" ht="13.2" x14ac:dyDescent="0.25">
      <c r="D282" s="25"/>
      <c r="E282" s="25"/>
      <c r="F282" s="28"/>
    </row>
    <row r="283" spans="4:6" ht="13.2" x14ac:dyDescent="0.25">
      <c r="D283" s="25"/>
      <c r="E283" s="25"/>
      <c r="F283" s="28"/>
    </row>
    <row r="284" spans="4:6" ht="13.2" x14ac:dyDescent="0.25">
      <c r="D284" s="25"/>
      <c r="E284" s="25"/>
      <c r="F284" s="28"/>
    </row>
    <row r="285" spans="4:6" ht="13.2" x14ac:dyDescent="0.25">
      <c r="D285" s="25"/>
      <c r="E285" s="25"/>
      <c r="F285" s="28"/>
    </row>
    <row r="286" spans="4:6" ht="13.2" x14ac:dyDescent="0.25">
      <c r="D286" s="25"/>
      <c r="E286" s="25"/>
      <c r="F286" s="28"/>
    </row>
    <row r="287" spans="4:6" ht="13.2" x14ac:dyDescent="0.25">
      <c r="D287" s="25"/>
      <c r="E287" s="25"/>
      <c r="F287" s="28"/>
    </row>
    <row r="288" spans="4:6" ht="13.2" x14ac:dyDescent="0.25">
      <c r="D288" s="25"/>
      <c r="E288" s="25"/>
      <c r="F288" s="28"/>
    </row>
    <row r="289" spans="4:6" ht="13.2" x14ac:dyDescent="0.25">
      <c r="D289" s="25"/>
      <c r="E289" s="25"/>
      <c r="F289" s="28"/>
    </row>
    <row r="290" spans="4:6" ht="13.2" x14ac:dyDescent="0.25">
      <c r="D290" s="25"/>
      <c r="E290" s="25"/>
      <c r="F290" s="28"/>
    </row>
    <row r="291" spans="4:6" ht="13.2" x14ac:dyDescent="0.25">
      <c r="D291" s="25"/>
      <c r="E291" s="25"/>
      <c r="F291" s="28"/>
    </row>
    <row r="292" spans="4:6" ht="13.2" x14ac:dyDescent="0.25">
      <c r="D292" s="25"/>
      <c r="E292" s="25"/>
      <c r="F292" s="28"/>
    </row>
    <row r="293" spans="4:6" ht="13.2" x14ac:dyDescent="0.25">
      <c r="D293" s="25"/>
      <c r="E293" s="25"/>
      <c r="F293" s="28"/>
    </row>
    <row r="294" spans="4:6" ht="13.2" x14ac:dyDescent="0.25">
      <c r="D294" s="25"/>
      <c r="E294" s="25"/>
      <c r="F294" s="28"/>
    </row>
    <row r="295" spans="4:6" ht="13.2" x14ac:dyDescent="0.25">
      <c r="D295" s="25"/>
      <c r="E295" s="25"/>
      <c r="F295" s="28"/>
    </row>
    <row r="296" spans="4:6" ht="13.2" x14ac:dyDescent="0.25">
      <c r="D296" s="25"/>
      <c r="E296" s="25"/>
      <c r="F296" s="28"/>
    </row>
    <row r="297" spans="4:6" ht="13.2" x14ac:dyDescent="0.25">
      <c r="D297" s="25"/>
      <c r="E297" s="25"/>
      <c r="F297" s="28"/>
    </row>
    <row r="298" spans="4:6" ht="13.2" x14ac:dyDescent="0.25">
      <c r="D298" s="25"/>
      <c r="E298" s="25"/>
      <c r="F298" s="28"/>
    </row>
    <row r="299" spans="4:6" ht="13.2" x14ac:dyDescent="0.25">
      <c r="D299" s="25"/>
      <c r="E299" s="25"/>
      <c r="F299" s="28"/>
    </row>
    <row r="300" spans="4:6" ht="13.2" x14ac:dyDescent="0.25">
      <c r="D300" s="25"/>
      <c r="E300" s="25"/>
      <c r="F300" s="28"/>
    </row>
    <row r="301" spans="4:6" ht="13.2" x14ac:dyDescent="0.25">
      <c r="D301" s="25"/>
      <c r="E301" s="25"/>
      <c r="F301" s="28"/>
    </row>
    <row r="302" spans="4:6" ht="13.2" x14ac:dyDescent="0.25">
      <c r="D302" s="25"/>
      <c r="E302" s="25"/>
      <c r="F302" s="28"/>
    </row>
    <row r="303" spans="4:6" ht="13.2" x14ac:dyDescent="0.25">
      <c r="D303" s="25"/>
      <c r="E303" s="25"/>
      <c r="F303" s="28"/>
    </row>
    <row r="304" spans="4:6" ht="13.2" x14ac:dyDescent="0.25">
      <c r="D304" s="25"/>
      <c r="E304" s="25"/>
      <c r="F304" s="28"/>
    </row>
    <row r="305" spans="4:6" ht="13.2" x14ac:dyDescent="0.25">
      <c r="D305" s="25"/>
      <c r="E305" s="25"/>
      <c r="F305" s="28"/>
    </row>
    <row r="306" spans="4:6" ht="13.2" x14ac:dyDescent="0.25">
      <c r="D306" s="25"/>
      <c r="E306" s="25"/>
      <c r="F306" s="28"/>
    </row>
    <row r="307" spans="4:6" ht="13.2" x14ac:dyDescent="0.25">
      <c r="D307" s="25"/>
      <c r="E307" s="25"/>
      <c r="F307" s="28"/>
    </row>
    <row r="308" spans="4:6" ht="13.2" x14ac:dyDescent="0.25">
      <c r="D308" s="25"/>
      <c r="E308" s="25"/>
      <c r="F308" s="28"/>
    </row>
    <row r="309" spans="4:6" ht="13.2" x14ac:dyDescent="0.25">
      <c r="D309" s="25"/>
      <c r="E309" s="25"/>
      <c r="F309" s="28"/>
    </row>
    <row r="310" spans="4:6" ht="13.2" x14ac:dyDescent="0.25">
      <c r="D310" s="25"/>
      <c r="E310" s="25"/>
      <c r="F310" s="28"/>
    </row>
    <row r="311" spans="4:6" ht="13.2" x14ac:dyDescent="0.25">
      <c r="D311" s="25"/>
      <c r="E311" s="25"/>
      <c r="F311" s="28"/>
    </row>
    <row r="312" spans="4:6" ht="13.2" x14ac:dyDescent="0.25">
      <c r="D312" s="25"/>
      <c r="E312" s="25"/>
      <c r="F312" s="28"/>
    </row>
    <row r="313" spans="4:6" ht="13.2" x14ac:dyDescent="0.25">
      <c r="D313" s="25"/>
      <c r="E313" s="25"/>
      <c r="F313" s="28"/>
    </row>
    <row r="314" spans="4:6" ht="13.2" x14ac:dyDescent="0.25">
      <c r="D314" s="25"/>
      <c r="E314" s="25"/>
      <c r="F314" s="28"/>
    </row>
    <row r="315" spans="4:6" ht="13.2" x14ac:dyDescent="0.25">
      <c r="D315" s="25"/>
      <c r="E315" s="25"/>
      <c r="F315" s="28"/>
    </row>
    <row r="316" spans="4:6" ht="13.2" x14ac:dyDescent="0.25">
      <c r="D316" s="25"/>
      <c r="E316" s="25"/>
      <c r="F316" s="28"/>
    </row>
    <row r="317" spans="4:6" ht="13.2" x14ac:dyDescent="0.25">
      <c r="D317" s="25"/>
      <c r="E317" s="25"/>
      <c r="F317" s="28"/>
    </row>
    <row r="318" spans="4:6" ht="13.2" x14ac:dyDescent="0.25">
      <c r="D318" s="25"/>
      <c r="E318" s="25"/>
      <c r="F318" s="28"/>
    </row>
    <row r="319" spans="4:6" ht="13.2" x14ac:dyDescent="0.25">
      <c r="D319" s="25"/>
      <c r="E319" s="25"/>
      <c r="F319" s="28"/>
    </row>
    <row r="320" spans="4:6" ht="13.2" x14ac:dyDescent="0.25">
      <c r="D320" s="25"/>
      <c r="E320" s="25"/>
      <c r="F320" s="28"/>
    </row>
    <row r="321" spans="4:6" ht="13.2" x14ac:dyDescent="0.25">
      <c r="D321" s="25"/>
      <c r="E321" s="25"/>
      <c r="F321" s="28"/>
    </row>
    <row r="322" spans="4:6" ht="13.2" x14ac:dyDescent="0.25">
      <c r="D322" s="25"/>
      <c r="E322" s="25"/>
      <c r="F322" s="28"/>
    </row>
    <row r="323" spans="4:6" ht="13.2" x14ac:dyDescent="0.25">
      <c r="D323" s="25"/>
      <c r="E323" s="25"/>
      <c r="F323" s="28"/>
    </row>
    <row r="324" spans="4:6" ht="13.2" x14ac:dyDescent="0.25">
      <c r="D324" s="25"/>
      <c r="E324" s="25"/>
      <c r="F324" s="28"/>
    </row>
    <row r="325" spans="4:6" ht="13.2" x14ac:dyDescent="0.25">
      <c r="D325" s="25"/>
      <c r="E325" s="25"/>
      <c r="F325" s="28"/>
    </row>
    <row r="326" spans="4:6" ht="13.2" x14ac:dyDescent="0.25">
      <c r="D326" s="25"/>
      <c r="E326" s="25"/>
      <c r="F326" s="28"/>
    </row>
    <row r="327" spans="4:6" ht="13.2" x14ac:dyDescent="0.25">
      <c r="D327" s="25"/>
      <c r="E327" s="25"/>
      <c r="F327" s="28"/>
    </row>
    <row r="328" spans="4:6" ht="13.2" x14ac:dyDescent="0.25">
      <c r="D328" s="25"/>
      <c r="E328" s="25"/>
      <c r="F328" s="28"/>
    </row>
    <row r="329" spans="4:6" ht="13.2" x14ac:dyDescent="0.25">
      <c r="D329" s="25"/>
      <c r="E329" s="25"/>
      <c r="F329" s="28"/>
    </row>
    <row r="330" spans="4:6" ht="13.2" x14ac:dyDescent="0.25">
      <c r="D330" s="25"/>
      <c r="E330" s="25"/>
      <c r="F330" s="28"/>
    </row>
    <row r="331" spans="4:6" ht="13.2" x14ac:dyDescent="0.25">
      <c r="D331" s="25"/>
      <c r="E331" s="25"/>
      <c r="F331" s="28"/>
    </row>
    <row r="332" spans="4:6" ht="13.2" x14ac:dyDescent="0.25">
      <c r="D332" s="25"/>
      <c r="E332" s="25"/>
      <c r="F332" s="28"/>
    </row>
    <row r="333" spans="4:6" ht="13.2" x14ac:dyDescent="0.25">
      <c r="D333" s="25"/>
      <c r="E333" s="25"/>
      <c r="F333" s="28"/>
    </row>
    <row r="334" spans="4:6" ht="13.2" x14ac:dyDescent="0.25">
      <c r="D334" s="25"/>
      <c r="E334" s="25"/>
      <c r="F334" s="28"/>
    </row>
    <row r="335" spans="4:6" ht="13.2" x14ac:dyDescent="0.25">
      <c r="D335" s="25"/>
      <c r="E335" s="25"/>
      <c r="F335" s="28"/>
    </row>
    <row r="336" spans="4:6" ht="13.2" x14ac:dyDescent="0.25">
      <c r="D336" s="25"/>
      <c r="E336" s="25"/>
      <c r="F336" s="28"/>
    </row>
    <row r="337" spans="4:6" ht="13.2" x14ac:dyDescent="0.25">
      <c r="D337" s="25"/>
      <c r="E337" s="25"/>
      <c r="F337" s="28"/>
    </row>
    <row r="338" spans="4:6" ht="13.2" x14ac:dyDescent="0.25">
      <c r="D338" s="25"/>
      <c r="E338" s="25"/>
      <c r="F338" s="28"/>
    </row>
    <row r="339" spans="4:6" ht="13.2" x14ac:dyDescent="0.25">
      <c r="D339" s="25"/>
      <c r="E339" s="25"/>
      <c r="F339" s="28"/>
    </row>
    <row r="340" spans="4:6" ht="13.2" x14ac:dyDescent="0.25">
      <c r="D340" s="25"/>
      <c r="E340" s="25"/>
      <c r="F340" s="28"/>
    </row>
    <row r="341" spans="4:6" ht="13.2" x14ac:dyDescent="0.25">
      <c r="D341" s="25"/>
      <c r="E341" s="25"/>
      <c r="F341" s="28"/>
    </row>
    <row r="342" spans="4:6" ht="13.2" x14ac:dyDescent="0.25">
      <c r="D342" s="25"/>
      <c r="E342" s="25"/>
      <c r="F342" s="28"/>
    </row>
    <row r="343" spans="4:6" ht="13.2" x14ac:dyDescent="0.25">
      <c r="D343" s="25"/>
      <c r="E343" s="25"/>
      <c r="F343" s="28"/>
    </row>
    <row r="344" spans="4:6" ht="13.2" x14ac:dyDescent="0.25">
      <c r="D344" s="25"/>
      <c r="E344" s="25"/>
      <c r="F344" s="28"/>
    </row>
    <row r="345" spans="4:6" ht="13.2" x14ac:dyDescent="0.25">
      <c r="D345" s="25"/>
      <c r="E345" s="25"/>
      <c r="F345" s="28"/>
    </row>
    <row r="346" spans="4:6" ht="13.2" x14ac:dyDescent="0.25">
      <c r="D346" s="25"/>
      <c r="E346" s="25"/>
      <c r="F346" s="28"/>
    </row>
    <row r="347" spans="4:6" ht="13.2" x14ac:dyDescent="0.25">
      <c r="D347" s="25"/>
      <c r="E347" s="25"/>
      <c r="F347" s="28"/>
    </row>
    <row r="348" spans="4:6" ht="13.2" x14ac:dyDescent="0.25">
      <c r="D348" s="25"/>
      <c r="E348" s="25"/>
      <c r="F348" s="28"/>
    </row>
    <row r="349" spans="4:6" ht="13.2" x14ac:dyDescent="0.25">
      <c r="D349" s="25"/>
      <c r="E349" s="25"/>
      <c r="F349" s="28"/>
    </row>
    <row r="350" spans="4:6" ht="13.2" x14ac:dyDescent="0.25">
      <c r="D350" s="25"/>
      <c r="E350" s="25"/>
      <c r="F350" s="28"/>
    </row>
    <row r="351" spans="4:6" ht="13.2" x14ac:dyDescent="0.25">
      <c r="D351" s="25"/>
      <c r="E351" s="25"/>
      <c r="F351" s="28"/>
    </row>
    <row r="352" spans="4:6" ht="13.2" x14ac:dyDescent="0.25">
      <c r="D352" s="25"/>
      <c r="E352" s="25"/>
      <c r="F352" s="28"/>
    </row>
    <row r="353" spans="4:6" ht="13.2" x14ac:dyDescent="0.25">
      <c r="D353" s="25"/>
      <c r="E353" s="25"/>
      <c r="F353" s="28"/>
    </row>
    <row r="354" spans="4:6" ht="13.2" x14ac:dyDescent="0.25">
      <c r="D354" s="25"/>
      <c r="E354" s="25"/>
      <c r="F354" s="28"/>
    </row>
    <row r="355" spans="4:6" ht="13.2" x14ac:dyDescent="0.25">
      <c r="D355" s="25"/>
      <c r="E355" s="25"/>
      <c r="F355" s="28"/>
    </row>
    <row r="356" spans="4:6" ht="13.2" x14ac:dyDescent="0.25">
      <c r="D356" s="25"/>
      <c r="E356" s="25"/>
      <c r="F356" s="28"/>
    </row>
    <row r="357" spans="4:6" ht="13.2" x14ac:dyDescent="0.25">
      <c r="D357" s="25"/>
      <c r="E357" s="25"/>
      <c r="F357" s="28"/>
    </row>
    <row r="358" spans="4:6" ht="13.2" x14ac:dyDescent="0.25">
      <c r="D358" s="25"/>
      <c r="E358" s="25"/>
      <c r="F358" s="28"/>
    </row>
    <row r="359" spans="4:6" ht="13.2" x14ac:dyDescent="0.25">
      <c r="D359" s="25"/>
      <c r="E359" s="25"/>
      <c r="F359" s="28"/>
    </row>
    <row r="360" spans="4:6" ht="13.2" x14ac:dyDescent="0.25">
      <c r="D360" s="25"/>
      <c r="E360" s="25"/>
      <c r="F360" s="28"/>
    </row>
    <row r="361" spans="4:6" ht="13.2" x14ac:dyDescent="0.25">
      <c r="D361" s="25"/>
      <c r="E361" s="25"/>
      <c r="F361" s="28"/>
    </row>
    <row r="362" spans="4:6" ht="13.2" x14ac:dyDescent="0.25">
      <c r="D362" s="25"/>
      <c r="E362" s="25"/>
      <c r="F362" s="28"/>
    </row>
    <row r="363" spans="4:6" ht="13.2" x14ac:dyDescent="0.25">
      <c r="D363" s="25"/>
      <c r="E363" s="25"/>
      <c r="F363" s="28"/>
    </row>
    <row r="364" spans="4:6" ht="13.2" x14ac:dyDescent="0.25">
      <c r="D364" s="25"/>
      <c r="E364" s="25"/>
      <c r="F364" s="28"/>
    </row>
    <row r="365" spans="4:6" ht="13.2" x14ac:dyDescent="0.25">
      <c r="D365" s="25"/>
      <c r="E365" s="25"/>
      <c r="F365" s="28"/>
    </row>
    <row r="366" spans="4:6" ht="13.2" x14ac:dyDescent="0.25">
      <c r="D366" s="25"/>
      <c r="E366" s="25"/>
      <c r="F366" s="28"/>
    </row>
    <row r="367" spans="4:6" ht="13.2" x14ac:dyDescent="0.25">
      <c r="D367" s="25"/>
      <c r="E367" s="25"/>
      <c r="F367" s="28"/>
    </row>
    <row r="368" spans="4:6" ht="13.2" x14ac:dyDescent="0.25">
      <c r="D368" s="25"/>
      <c r="E368" s="25"/>
      <c r="F368" s="28"/>
    </row>
    <row r="369" spans="4:6" ht="13.2" x14ac:dyDescent="0.25">
      <c r="D369" s="25"/>
      <c r="E369" s="25"/>
      <c r="F369" s="28"/>
    </row>
    <row r="370" spans="4:6" ht="13.2" x14ac:dyDescent="0.25">
      <c r="D370" s="25"/>
      <c r="E370" s="25"/>
      <c r="F370" s="28"/>
    </row>
    <row r="371" spans="4:6" ht="13.2" x14ac:dyDescent="0.25">
      <c r="D371" s="25"/>
      <c r="E371" s="25"/>
      <c r="F371" s="28"/>
    </row>
    <row r="372" spans="4:6" ht="13.2" x14ac:dyDescent="0.25">
      <c r="D372" s="25"/>
      <c r="E372" s="25"/>
      <c r="F372" s="28"/>
    </row>
    <row r="373" spans="4:6" ht="13.2" x14ac:dyDescent="0.25">
      <c r="D373" s="25"/>
      <c r="E373" s="25"/>
      <c r="F373" s="28"/>
    </row>
    <row r="374" spans="4:6" ht="13.2" x14ac:dyDescent="0.25">
      <c r="D374" s="25"/>
      <c r="E374" s="25"/>
      <c r="F374" s="28"/>
    </row>
    <row r="375" spans="4:6" ht="13.2" x14ac:dyDescent="0.25">
      <c r="D375" s="25"/>
      <c r="E375" s="25"/>
      <c r="F375" s="28"/>
    </row>
    <row r="376" spans="4:6" ht="13.2" x14ac:dyDescent="0.25">
      <c r="D376" s="25"/>
      <c r="E376" s="25"/>
      <c r="F376" s="28"/>
    </row>
    <row r="377" spans="4:6" ht="13.2" x14ac:dyDescent="0.25">
      <c r="D377" s="25"/>
      <c r="E377" s="25"/>
      <c r="F377" s="28"/>
    </row>
    <row r="378" spans="4:6" ht="13.2" x14ac:dyDescent="0.25">
      <c r="D378" s="25"/>
      <c r="E378" s="25"/>
      <c r="F378" s="28"/>
    </row>
    <row r="379" spans="4:6" ht="13.2" x14ac:dyDescent="0.25">
      <c r="D379" s="25"/>
      <c r="E379" s="25"/>
      <c r="F379" s="28"/>
    </row>
    <row r="380" spans="4:6" ht="13.2" x14ac:dyDescent="0.25">
      <c r="D380" s="25"/>
      <c r="E380" s="25"/>
      <c r="F380" s="28"/>
    </row>
    <row r="381" spans="4:6" ht="13.2" x14ac:dyDescent="0.25">
      <c r="D381" s="25"/>
      <c r="E381" s="25"/>
      <c r="F381" s="28"/>
    </row>
    <row r="382" spans="4:6" ht="13.2" x14ac:dyDescent="0.25">
      <c r="D382" s="25"/>
      <c r="E382" s="25"/>
      <c r="F382" s="28"/>
    </row>
    <row r="383" spans="4:6" ht="13.2" x14ac:dyDescent="0.25">
      <c r="D383" s="25"/>
      <c r="E383" s="25"/>
      <c r="F383" s="28"/>
    </row>
    <row r="384" spans="4:6" ht="13.2" x14ac:dyDescent="0.25">
      <c r="D384" s="25"/>
      <c r="E384" s="25"/>
      <c r="F384" s="28"/>
    </row>
    <row r="385" spans="4:6" ht="13.2" x14ac:dyDescent="0.25">
      <c r="D385" s="25"/>
      <c r="E385" s="25"/>
      <c r="F385" s="28"/>
    </row>
    <row r="386" spans="4:6" ht="13.2" x14ac:dyDescent="0.25">
      <c r="D386" s="25"/>
      <c r="E386" s="25"/>
      <c r="F386" s="28"/>
    </row>
    <row r="387" spans="4:6" ht="13.2" x14ac:dyDescent="0.25">
      <c r="D387" s="25"/>
      <c r="E387" s="25"/>
      <c r="F387" s="28"/>
    </row>
    <row r="388" spans="4:6" ht="13.2" x14ac:dyDescent="0.25">
      <c r="D388" s="25"/>
      <c r="E388" s="25"/>
      <c r="F388" s="28"/>
    </row>
    <row r="389" spans="4:6" ht="13.2" x14ac:dyDescent="0.25">
      <c r="D389" s="25"/>
      <c r="E389" s="25"/>
      <c r="F389" s="28"/>
    </row>
    <row r="390" spans="4:6" ht="13.2" x14ac:dyDescent="0.25">
      <c r="D390" s="25"/>
      <c r="E390" s="25"/>
      <c r="F390" s="28"/>
    </row>
    <row r="391" spans="4:6" ht="13.2" x14ac:dyDescent="0.25">
      <c r="D391" s="25"/>
      <c r="E391" s="25"/>
      <c r="F391" s="28"/>
    </row>
    <row r="392" spans="4:6" ht="13.2" x14ac:dyDescent="0.25">
      <c r="D392" s="25"/>
      <c r="E392" s="25"/>
      <c r="F392" s="28"/>
    </row>
    <row r="393" spans="4:6" ht="13.2" x14ac:dyDescent="0.25">
      <c r="D393" s="25"/>
      <c r="E393" s="25"/>
      <c r="F393" s="28"/>
    </row>
    <row r="394" spans="4:6" ht="13.2" x14ac:dyDescent="0.25">
      <c r="D394" s="25"/>
      <c r="E394" s="25"/>
      <c r="F394" s="28"/>
    </row>
    <row r="395" spans="4:6" ht="13.2" x14ac:dyDescent="0.25">
      <c r="D395" s="25"/>
      <c r="E395" s="25"/>
      <c r="F395" s="28"/>
    </row>
    <row r="396" spans="4:6" ht="13.2" x14ac:dyDescent="0.25">
      <c r="D396" s="25"/>
      <c r="E396" s="25"/>
      <c r="F396" s="28"/>
    </row>
    <row r="397" spans="4:6" ht="13.2" x14ac:dyDescent="0.25">
      <c r="D397" s="25"/>
      <c r="E397" s="25"/>
      <c r="F397" s="28"/>
    </row>
    <row r="398" spans="4:6" ht="13.2" x14ac:dyDescent="0.25">
      <c r="D398" s="25"/>
      <c r="E398" s="25"/>
      <c r="F398" s="28"/>
    </row>
    <row r="399" spans="4:6" ht="13.2" x14ac:dyDescent="0.25">
      <c r="D399" s="25"/>
      <c r="E399" s="25"/>
      <c r="F399" s="28"/>
    </row>
    <row r="400" spans="4:6" ht="13.2" x14ac:dyDescent="0.25">
      <c r="D400" s="25"/>
      <c r="E400" s="25"/>
      <c r="F400" s="28"/>
    </row>
    <row r="401" spans="4:6" ht="13.2" x14ac:dyDescent="0.25">
      <c r="D401" s="25"/>
      <c r="E401" s="25"/>
      <c r="F401" s="28"/>
    </row>
    <row r="402" spans="4:6" ht="13.2" x14ac:dyDescent="0.25">
      <c r="D402" s="25"/>
      <c r="E402" s="25"/>
      <c r="F402" s="28"/>
    </row>
    <row r="403" spans="4:6" ht="13.2" x14ac:dyDescent="0.25">
      <c r="D403" s="25"/>
      <c r="E403" s="25"/>
      <c r="F403" s="28"/>
    </row>
    <row r="404" spans="4:6" ht="13.2" x14ac:dyDescent="0.25">
      <c r="D404" s="25"/>
      <c r="E404" s="25"/>
      <c r="F404" s="28"/>
    </row>
    <row r="405" spans="4:6" ht="13.2" x14ac:dyDescent="0.25">
      <c r="D405" s="25"/>
      <c r="E405" s="25"/>
      <c r="F405" s="28"/>
    </row>
    <row r="406" spans="4:6" ht="13.2" x14ac:dyDescent="0.25">
      <c r="D406" s="25"/>
      <c r="E406" s="25"/>
      <c r="F406" s="28"/>
    </row>
    <row r="407" spans="4:6" ht="13.2" x14ac:dyDescent="0.25">
      <c r="D407" s="25"/>
      <c r="E407" s="25"/>
      <c r="F407" s="28"/>
    </row>
    <row r="408" spans="4:6" ht="13.2" x14ac:dyDescent="0.25">
      <c r="D408" s="25"/>
      <c r="E408" s="25"/>
      <c r="F408" s="28"/>
    </row>
    <row r="409" spans="4:6" ht="13.2" x14ac:dyDescent="0.25">
      <c r="D409" s="25"/>
      <c r="E409" s="25"/>
      <c r="F409" s="28"/>
    </row>
    <row r="410" spans="4:6" ht="13.2" x14ac:dyDescent="0.25">
      <c r="D410" s="25"/>
      <c r="E410" s="25"/>
      <c r="F410" s="28"/>
    </row>
    <row r="411" spans="4:6" ht="13.2" x14ac:dyDescent="0.25">
      <c r="D411" s="25"/>
      <c r="E411" s="25"/>
      <c r="F411" s="28"/>
    </row>
    <row r="412" spans="4:6" ht="13.2" x14ac:dyDescent="0.25">
      <c r="D412" s="25"/>
      <c r="E412" s="25"/>
      <c r="F412" s="28"/>
    </row>
    <row r="413" spans="4:6" ht="13.2" x14ac:dyDescent="0.25">
      <c r="D413" s="25"/>
      <c r="E413" s="25"/>
      <c r="F413" s="28"/>
    </row>
    <row r="414" spans="4:6" ht="13.2" x14ac:dyDescent="0.25">
      <c r="D414" s="25"/>
      <c r="E414" s="25"/>
      <c r="F414" s="28"/>
    </row>
    <row r="415" spans="4:6" ht="13.2" x14ac:dyDescent="0.25">
      <c r="D415" s="25"/>
      <c r="E415" s="25"/>
      <c r="F415" s="28"/>
    </row>
    <row r="416" spans="4:6" ht="13.2" x14ac:dyDescent="0.25">
      <c r="D416" s="25"/>
      <c r="E416" s="25"/>
      <c r="F416" s="28"/>
    </row>
    <row r="417" spans="4:6" ht="13.2" x14ac:dyDescent="0.25">
      <c r="D417" s="25"/>
      <c r="E417" s="25"/>
      <c r="F417" s="28"/>
    </row>
    <row r="418" spans="4:6" ht="13.2" x14ac:dyDescent="0.25">
      <c r="D418" s="25"/>
      <c r="E418" s="25"/>
      <c r="F418" s="28"/>
    </row>
    <row r="419" spans="4:6" ht="13.2" x14ac:dyDescent="0.25">
      <c r="D419" s="25"/>
      <c r="E419" s="25"/>
      <c r="F419" s="28"/>
    </row>
    <row r="420" spans="4:6" ht="13.2" x14ac:dyDescent="0.25">
      <c r="D420" s="25"/>
      <c r="E420" s="25"/>
      <c r="F420" s="28"/>
    </row>
    <row r="421" spans="4:6" ht="13.2" x14ac:dyDescent="0.25">
      <c r="D421" s="25"/>
      <c r="E421" s="25"/>
      <c r="F421" s="28"/>
    </row>
    <row r="422" spans="4:6" ht="13.2" x14ac:dyDescent="0.25">
      <c r="D422" s="25"/>
      <c r="E422" s="25"/>
      <c r="F422" s="28"/>
    </row>
    <row r="423" spans="4:6" ht="13.2" x14ac:dyDescent="0.25">
      <c r="D423" s="25"/>
      <c r="E423" s="25"/>
      <c r="F423" s="28"/>
    </row>
    <row r="424" spans="4:6" ht="13.2" x14ac:dyDescent="0.25">
      <c r="D424" s="25"/>
      <c r="E424" s="25"/>
      <c r="F424" s="28"/>
    </row>
    <row r="425" spans="4:6" ht="13.2" x14ac:dyDescent="0.25">
      <c r="D425" s="25"/>
      <c r="E425" s="25"/>
      <c r="F425" s="28"/>
    </row>
    <row r="426" spans="4:6" ht="13.2" x14ac:dyDescent="0.25">
      <c r="D426" s="25"/>
      <c r="E426" s="25"/>
      <c r="F426" s="28"/>
    </row>
    <row r="427" spans="4:6" ht="13.2" x14ac:dyDescent="0.25">
      <c r="D427" s="25"/>
      <c r="E427" s="25"/>
      <c r="F427" s="28"/>
    </row>
    <row r="428" spans="4:6" ht="13.2" x14ac:dyDescent="0.25">
      <c r="D428" s="25"/>
      <c r="E428" s="25"/>
      <c r="F428" s="28"/>
    </row>
    <row r="429" spans="4:6" ht="13.2" x14ac:dyDescent="0.25">
      <c r="D429" s="25"/>
      <c r="E429" s="25"/>
      <c r="F429" s="28"/>
    </row>
    <row r="430" spans="4:6" ht="13.2" x14ac:dyDescent="0.25">
      <c r="D430" s="25"/>
      <c r="E430" s="25"/>
      <c r="F430" s="28"/>
    </row>
    <row r="431" spans="4:6" ht="13.2" x14ac:dyDescent="0.25">
      <c r="D431" s="25"/>
      <c r="E431" s="25"/>
      <c r="F431" s="28"/>
    </row>
    <row r="432" spans="4:6" ht="13.2" x14ac:dyDescent="0.25">
      <c r="D432" s="25"/>
      <c r="E432" s="25"/>
      <c r="F432" s="28"/>
    </row>
    <row r="433" spans="4:6" ht="13.2" x14ac:dyDescent="0.25">
      <c r="D433" s="25"/>
      <c r="E433" s="25"/>
      <c r="F433" s="28"/>
    </row>
    <row r="434" spans="4:6" ht="13.2" x14ac:dyDescent="0.25">
      <c r="D434" s="25"/>
      <c r="E434" s="25"/>
      <c r="F434" s="28"/>
    </row>
    <row r="435" spans="4:6" ht="13.2" x14ac:dyDescent="0.25">
      <c r="D435" s="25"/>
      <c r="E435" s="25"/>
      <c r="F435" s="28"/>
    </row>
    <row r="436" spans="4:6" ht="13.2" x14ac:dyDescent="0.25">
      <c r="D436" s="25"/>
      <c r="E436" s="25"/>
      <c r="F436" s="28"/>
    </row>
    <row r="437" spans="4:6" ht="13.2" x14ac:dyDescent="0.25">
      <c r="D437" s="25"/>
      <c r="E437" s="25"/>
      <c r="F437" s="28"/>
    </row>
    <row r="438" spans="4:6" ht="13.2" x14ac:dyDescent="0.25">
      <c r="D438" s="25"/>
      <c r="E438" s="25"/>
      <c r="F438" s="28"/>
    </row>
    <row r="439" spans="4:6" ht="13.2" x14ac:dyDescent="0.25">
      <c r="D439" s="25"/>
      <c r="E439" s="25"/>
      <c r="F439" s="28"/>
    </row>
    <row r="440" spans="4:6" ht="13.2" x14ac:dyDescent="0.25">
      <c r="D440" s="25"/>
      <c r="E440" s="25"/>
      <c r="F440" s="28"/>
    </row>
    <row r="441" spans="4:6" ht="13.2" x14ac:dyDescent="0.25">
      <c r="D441" s="25"/>
      <c r="E441" s="25"/>
      <c r="F441" s="28"/>
    </row>
    <row r="442" spans="4:6" ht="13.2" x14ac:dyDescent="0.25">
      <c r="D442" s="25"/>
      <c r="E442" s="25"/>
      <c r="F442" s="28"/>
    </row>
    <row r="443" spans="4:6" ht="13.2" x14ac:dyDescent="0.25">
      <c r="D443" s="25"/>
      <c r="E443" s="25"/>
      <c r="F443" s="28"/>
    </row>
    <row r="444" spans="4:6" ht="13.2" x14ac:dyDescent="0.25">
      <c r="D444" s="25"/>
      <c r="E444" s="25"/>
      <c r="F444" s="28"/>
    </row>
    <row r="445" spans="4:6" ht="13.2" x14ac:dyDescent="0.25">
      <c r="D445" s="25"/>
      <c r="E445" s="25"/>
      <c r="F445" s="28"/>
    </row>
    <row r="446" spans="4:6" ht="13.2" x14ac:dyDescent="0.25">
      <c r="D446" s="25"/>
      <c r="E446" s="25"/>
      <c r="F446" s="28"/>
    </row>
    <row r="447" spans="4:6" ht="13.2" x14ac:dyDescent="0.25">
      <c r="D447" s="25"/>
      <c r="E447" s="25"/>
      <c r="F447" s="28"/>
    </row>
    <row r="448" spans="4:6" ht="13.2" x14ac:dyDescent="0.25">
      <c r="D448" s="25"/>
      <c r="E448" s="25"/>
      <c r="F448" s="28"/>
    </row>
    <row r="449" spans="4:6" ht="13.2" x14ac:dyDescent="0.25">
      <c r="D449" s="25"/>
      <c r="E449" s="25"/>
      <c r="F449" s="28"/>
    </row>
    <row r="450" spans="4:6" ht="13.2" x14ac:dyDescent="0.25">
      <c r="D450" s="25"/>
      <c r="E450" s="25"/>
      <c r="F450" s="28"/>
    </row>
    <row r="451" spans="4:6" ht="13.2" x14ac:dyDescent="0.25">
      <c r="D451" s="25"/>
      <c r="E451" s="25"/>
      <c r="F451" s="28"/>
    </row>
    <row r="452" spans="4:6" ht="13.2" x14ac:dyDescent="0.25">
      <c r="D452" s="25"/>
      <c r="E452" s="25"/>
      <c r="F452" s="28"/>
    </row>
    <row r="453" spans="4:6" ht="13.2" x14ac:dyDescent="0.25">
      <c r="D453" s="25"/>
      <c r="E453" s="25"/>
      <c r="F453" s="28"/>
    </row>
    <row r="454" spans="4:6" ht="13.2" x14ac:dyDescent="0.25">
      <c r="D454" s="25"/>
      <c r="E454" s="25"/>
      <c r="F454" s="28"/>
    </row>
    <row r="455" spans="4:6" ht="13.2" x14ac:dyDescent="0.25">
      <c r="D455" s="25"/>
      <c r="E455" s="25"/>
      <c r="F455" s="28"/>
    </row>
    <row r="456" spans="4:6" ht="13.2" x14ac:dyDescent="0.25">
      <c r="D456" s="25"/>
      <c r="E456" s="25"/>
      <c r="F456" s="28"/>
    </row>
    <row r="457" spans="4:6" ht="13.2" x14ac:dyDescent="0.25">
      <c r="D457" s="25"/>
      <c r="E457" s="25"/>
      <c r="F457" s="28"/>
    </row>
    <row r="458" spans="4:6" ht="13.2" x14ac:dyDescent="0.25">
      <c r="D458" s="25"/>
      <c r="E458" s="25"/>
      <c r="F458" s="28"/>
    </row>
    <row r="459" spans="4:6" ht="13.2" x14ac:dyDescent="0.25">
      <c r="D459" s="25"/>
      <c r="E459" s="25"/>
      <c r="F459" s="28"/>
    </row>
    <row r="460" spans="4:6" ht="13.2" x14ac:dyDescent="0.25">
      <c r="D460" s="25"/>
      <c r="E460" s="25"/>
      <c r="F460" s="28"/>
    </row>
    <row r="461" spans="4:6" ht="13.2" x14ac:dyDescent="0.25">
      <c r="D461" s="25"/>
      <c r="E461" s="25"/>
      <c r="F461" s="28"/>
    </row>
    <row r="462" spans="4:6" ht="13.2" x14ac:dyDescent="0.25">
      <c r="D462" s="25"/>
      <c r="E462" s="25"/>
      <c r="F462" s="28"/>
    </row>
    <row r="463" spans="4:6" ht="13.2" x14ac:dyDescent="0.25">
      <c r="D463" s="25"/>
      <c r="E463" s="25"/>
      <c r="F463" s="28"/>
    </row>
    <row r="464" spans="4:6" ht="13.2" x14ac:dyDescent="0.25">
      <c r="D464" s="25"/>
      <c r="E464" s="25"/>
      <c r="F464" s="28"/>
    </row>
    <row r="465" spans="4:6" ht="13.2" x14ac:dyDescent="0.25">
      <c r="D465" s="25"/>
      <c r="E465" s="25"/>
      <c r="F465" s="28"/>
    </row>
    <row r="466" spans="4:6" ht="13.2" x14ac:dyDescent="0.25">
      <c r="D466" s="25"/>
      <c r="E466" s="25"/>
      <c r="F466" s="28"/>
    </row>
    <row r="467" spans="4:6" ht="13.2" x14ac:dyDescent="0.25">
      <c r="D467" s="25"/>
      <c r="E467" s="25"/>
      <c r="F467" s="28"/>
    </row>
    <row r="468" spans="4:6" ht="13.2" x14ac:dyDescent="0.25">
      <c r="D468" s="25"/>
      <c r="E468" s="25"/>
      <c r="F468" s="28"/>
    </row>
    <row r="469" spans="4:6" ht="13.2" x14ac:dyDescent="0.25">
      <c r="D469" s="25"/>
      <c r="E469" s="25"/>
      <c r="F469" s="28"/>
    </row>
    <row r="470" spans="4:6" ht="13.2" x14ac:dyDescent="0.25">
      <c r="D470" s="25"/>
      <c r="E470" s="25"/>
      <c r="F470" s="28"/>
    </row>
    <row r="471" spans="4:6" ht="13.2" x14ac:dyDescent="0.25">
      <c r="D471" s="25"/>
      <c r="E471" s="25"/>
      <c r="F471" s="28"/>
    </row>
    <row r="472" spans="4:6" ht="13.2" x14ac:dyDescent="0.25">
      <c r="D472" s="25"/>
      <c r="E472" s="25"/>
      <c r="F472" s="28"/>
    </row>
    <row r="473" spans="4:6" ht="13.2" x14ac:dyDescent="0.25">
      <c r="D473" s="25"/>
      <c r="E473" s="25"/>
      <c r="F473" s="28"/>
    </row>
    <row r="474" spans="4:6" ht="13.2" x14ac:dyDescent="0.25">
      <c r="D474" s="25"/>
      <c r="E474" s="25"/>
      <c r="F474" s="28"/>
    </row>
    <row r="475" spans="4:6" ht="13.2" x14ac:dyDescent="0.25">
      <c r="D475" s="25"/>
      <c r="E475" s="25"/>
      <c r="F475" s="28"/>
    </row>
    <row r="476" spans="4:6" ht="13.2" x14ac:dyDescent="0.25">
      <c r="D476" s="25"/>
      <c r="E476" s="25"/>
      <c r="F476" s="28"/>
    </row>
    <row r="477" spans="4:6" ht="13.2" x14ac:dyDescent="0.25">
      <c r="D477" s="25"/>
      <c r="E477" s="25"/>
      <c r="F477" s="28"/>
    </row>
    <row r="478" spans="4:6" ht="13.2" x14ac:dyDescent="0.25">
      <c r="D478" s="25"/>
      <c r="E478" s="25"/>
      <c r="F478" s="28"/>
    </row>
    <row r="479" spans="4:6" ht="13.2" x14ac:dyDescent="0.25">
      <c r="D479" s="25"/>
      <c r="E479" s="25"/>
      <c r="F479" s="28"/>
    </row>
    <row r="480" spans="4:6" ht="13.2" x14ac:dyDescent="0.25">
      <c r="D480" s="25"/>
      <c r="E480" s="25"/>
      <c r="F480" s="28"/>
    </row>
    <row r="481" spans="4:6" ht="13.2" x14ac:dyDescent="0.25">
      <c r="D481" s="25"/>
      <c r="E481" s="25"/>
      <c r="F481" s="28"/>
    </row>
    <row r="482" spans="4:6" ht="13.2" x14ac:dyDescent="0.25">
      <c r="D482" s="25"/>
      <c r="E482" s="25"/>
      <c r="F482" s="28"/>
    </row>
    <row r="483" spans="4:6" ht="13.2" x14ac:dyDescent="0.25">
      <c r="D483" s="25"/>
      <c r="E483" s="25"/>
      <c r="F483" s="28"/>
    </row>
    <row r="484" spans="4:6" ht="13.2" x14ac:dyDescent="0.25">
      <c r="D484" s="25"/>
      <c r="E484" s="25"/>
      <c r="F484" s="28"/>
    </row>
    <row r="485" spans="4:6" ht="13.2" x14ac:dyDescent="0.25">
      <c r="D485" s="25"/>
      <c r="E485" s="25"/>
      <c r="F485" s="28"/>
    </row>
    <row r="486" spans="4:6" ht="13.2" x14ac:dyDescent="0.25">
      <c r="D486" s="25"/>
      <c r="E486" s="25"/>
      <c r="F486" s="28"/>
    </row>
    <row r="487" spans="4:6" ht="13.2" x14ac:dyDescent="0.25">
      <c r="D487" s="25"/>
      <c r="E487" s="25"/>
      <c r="F487" s="28"/>
    </row>
    <row r="488" spans="4:6" ht="13.2" x14ac:dyDescent="0.25">
      <c r="D488" s="25"/>
      <c r="E488" s="25"/>
      <c r="F488" s="28"/>
    </row>
    <row r="489" spans="4:6" ht="13.2" x14ac:dyDescent="0.25">
      <c r="D489" s="25"/>
      <c r="E489" s="25"/>
      <c r="F489" s="28"/>
    </row>
    <row r="490" spans="4:6" ht="13.2" x14ac:dyDescent="0.25">
      <c r="D490" s="25"/>
      <c r="E490" s="25"/>
      <c r="F490" s="28"/>
    </row>
    <row r="491" spans="4:6" ht="13.2" x14ac:dyDescent="0.25">
      <c r="D491" s="25"/>
      <c r="E491" s="25"/>
      <c r="F491" s="28"/>
    </row>
    <row r="492" spans="4:6" ht="13.2" x14ac:dyDescent="0.25">
      <c r="D492" s="25"/>
      <c r="E492" s="25"/>
      <c r="F492" s="28"/>
    </row>
    <row r="493" spans="4:6" ht="13.2" x14ac:dyDescent="0.25">
      <c r="D493" s="25"/>
      <c r="E493" s="25"/>
      <c r="F493" s="28"/>
    </row>
    <row r="494" spans="4:6" ht="13.2" x14ac:dyDescent="0.25">
      <c r="D494" s="25"/>
      <c r="E494" s="25"/>
      <c r="F494" s="28"/>
    </row>
    <row r="495" spans="4:6" ht="13.2" x14ac:dyDescent="0.25">
      <c r="D495" s="25"/>
      <c r="E495" s="25"/>
      <c r="F495" s="28"/>
    </row>
    <row r="496" spans="4:6" ht="13.2" x14ac:dyDescent="0.25">
      <c r="D496" s="25"/>
      <c r="E496" s="25"/>
      <c r="F496" s="28"/>
    </row>
    <row r="497" spans="4:6" ht="13.2" x14ac:dyDescent="0.25">
      <c r="D497" s="25"/>
      <c r="E497" s="25"/>
      <c r="F497" s="28"/>
    </row>
    <row r="498" spans="4:6" ht="13.2" x14ac:dyDescent="0.25">
      <c r="D498" s="25"/>
      <c r="E498" s="25"/>
      <c r="F498" s="28"/>
    </row>
    <row r="499" spans="4:6" ht="13.2" x14ac:dyDescent="0.25">
      <c r="D499" s="25"/>
      <c r="E499" s="25"/>
      <c r="F499" s="28"/>
    </row>
    <row r="500" spans="4:6" ht="13.2" x14ac:dyDescent="0.25">
      <c r="D500" s="25"/>
      <c r="E500" s="25"/>
      <c r="F500" s="28"/>
    </row>
    <row r="501" spans="4:6" ht="13.2" x14ac:dyDescent="0.25">
      <c r="D501" s="25"/>
      <c r="E501" s="25"/>
      <c r="F501" s="28"/>
    </row>
    <row r="502" spans="4:6" ht="13.2" x14ac:dyDescent="0.25">
      <c r="D502" s="25"/>
      <c r="E502" s="25"/>
      <c r="F502" s="28"/>
    </row>
    <row r="503" spans="4:6" ht="13.2" x14ac:dyDescent="0.25">
      <c r="D503" s="25"/>
      <c r="E503" s="25"/>
      <c r="F503" s="28"/>
    </row>
    <row r="504" spans="4:6" ht="13.2" x14ac:dyDescent="0.25">
      <c r="D504" s="25"/>
      <c r="E504" s="25"/>
      <c r="F504" s="28"/>
    </row>
    <row r="505" spans="4:6" ht="13.2" x14ac:dyDescent="0.25">
      <c r="D505" s="25"/>
      <c r="E505" s="25"/>
      <c r="F505" s="28"/>
    </row>
    <row r="506" spans="4:6" ht="13.2" x14ac:dyDescent="0.25">
      <c r="D506" s="25"/>
      <c r="E506" s="25"/>
      <c r="F506" s="28"/>
    </row>
    <row r="507" spans="4:6" ht="13.2" x14ac:dyDescent="0.25">
      <c r="D507" s="25"/>
      <c r="E507" s="25"/>
      <c r="F507" s="28"/>
    </row>
    <row r="508" spans="4:6" ht="13.2" x14ac:dyDescent="0.25">
      <c r="D508" s="25"/>
      <c r="E508" s="25"/>
      <c r="F508" s="28"/>
    </row>
    <row r="509" spans="4:6" ht="13.2" x14ac:dyDescent="0.25">
      <c r="D509" s="25"/>
      <c r="E509" s="25"/>
      <c r="F509" s="28"/>
    </row>
    <row r="510" spans="4:6" ht="13.2" x14ac:dyDescent="0.25">
      <c r="D510" s="25"/>
      <c r="E510" s="25"/>
      <c r="F510" s="28"/>
    </row>
    <row r="511" spans="4:6" ht="13.2" x14ac:dyDescent="0.25">
      <c r="D511" s="25"/>
      <c r="E511" s="25"/>
      <c r="F511" s="28"/>
    </row>
    <row r="512" spans="4:6" ht="13.2" x14ac:dyDescent="0.25">
      <c r="D512" s="25"/>
      <c r="E512" s="25"/>
      <c r="F512" s="28"/>
    </row>
    <row r="513" spans="4:6" ht="13.2" x14ac:dyDescent="0.25">
      <c r="D513" s="25"/>
      <c r="E513" s="25"/>
      <c r="F513" s="28"/>
    </row>
    <row r="514" spans="4:6" ht="13.2" x14ac:dyDescent="0.25">
      <c r="D514" s="25"/>
      <c r="E514" s="25"/>
      <c r="F514" s="28"/>
    </row>
    <row r="515" spans="4:6" ht="13.2" x14ac:dyDescent="0.25">
      <c r="D515" s="25"/>
      <c r="E515" s="25"/>
      <c r="F515" s="28"/>
    </row>
    <row r="516" spans="4:6" ht="13.2" x14ac:dyDescent="0.25">
      <c r="D516" s="25"/>
      <c r="E516" s="25"/>
      <c r="F516" s="28"/>
    </row>
    <row r="517" spans="4:6" ht="13.2" x14ac:dyDescent="0.25">
      <c r="D517" s="25"/>
      <c r="E517" s="25"/>
      <c r="F517" s="28"/>
    </row>
    <row r="518" spans="4:6" ht="13.2" x14ac:dyDescent="0.25">
      <c r="D518" s="25"/>
      <c r="E518" s="25"/>
      <c r="F518" s="28"/>
    </row>
    <row r="519" spans="4:6" ht="13.2" x14ac:dyDescent="0.25">
      <c r="D519" s="25"/>
      <c r="E519" s="25"/>
      <c r="F519" s="28"/>
    </row>
    <row r="520" spans="4:6" ht="13.2" x14ac:dyDescent="0.25">
      <c r="D520" s="25"/>
      <c r="E520" s="25"/>
      <c r="F520" s="28"/>
    </row>
    <row r="521" spans="4:6" ht="13.2" x14ac:dyDescent="0.25">
      <c r="D521" s="25"/>
      <c r="E521" s="25"/>
      <c r="F521" s="28"/>
    </row>
    <row r="522" spans="4:6" ht="13.2" x14ac:dyDescent="0.25">
      <c r="D522" s="25"/>
      <c r="E522" s="25"/>
      <c r="F522" s="28"/>
    </row>
    <row r="523" spans="4:6" ht="13.2" x14ac:dyDescent="0.25">
      <c r="D523" s="25"/>
      <c r="E523" s="25"/>
      <c r="F523" s="28"/>
    </row>
    <row r="524" spans="4:6" ht="13.2" x14ac:dyDescent="0.25">
      <c r="D524" s="25"/>
      <c r="E524" s="25"/>
      <c r="F524" s="28"/>
    </row>
    <row r="525" spans="4:6" ht="13.2" x14ac:dyDescent="0.25">
      <c r="D525" s="25"/>
      <c r="E525" s="25"/>
      <c r="F525" s="28"/>
    </row>
    <row r="526" spans="4:6" ht="13.2" x14ac:dyDescent="0.25">
      <c r="D526" s="25"/>
      <c r="E526" s="25"/>
      <c r="F526" s="28"/>
    </row>
    <row r="527" spans="4:6" ht="13.2" x14ac:dyDescent="0.25">
      <c r="D527" s="25"/>
      <c r="E527" s="25"/>
      <c r="F527" s="28"/>
    </row>
    <row r="528" spans="4:6" ht="13.2" x14ac:dyDescent="0.25">
      <c r="D528" s="25"/>
      <c r="E528" s="25"/>
      <c r="F528" s="28"/>
    </row>
    <row r="529" spans="4:6" ht="13.2" x14ac:dyDescent="0.25">
      <c r="D529" s="25"/>
      <c r="E529" s="25"/>
      <c r="F529" s="28"/>
    </row>
    <row r="530" spans="4:6" ht="13.2" x14ac:dyDescent="0.25">
      <c r="D530" s="25"/>
      <c r="E530" s="25"/>
      <c r="F530" s="28"/>
    </row>
    <row r="531" spans="4:6" ht="13.2" x14ac:dyDescent="0.25">
      <c r="D531" s="25"/>
      <c r="E531" s="25"/>
      <c r="F531" s="28"/>
    </row>
    <row r="532" spans="4:6" ht="13.2" x14ac:dyDescent="0.25">
      <c r="D532" s="25"/>
      <c r="E532" s="25"/>
      <c r="F532" s="28"/>
    </row>
    <row r="533" spans="4:6" ht="13.2" x14ac:dyDescent="0.25">
      <c r="D533" s="25"/>
      <c r="E533" s="25"/>
      <c r="F533" s="28"/>
    </row>
    <row r="534" spans="4:6" ht="13.2" x14ac:dyDescent="0.25">
      <c r="D534" s="25"/>
      <c r="E534" s="25"/>
      <c r="F534" s="28"/>
    </row>
    <row r="535" spans="4:6" ht="13.2" x14ac:dyDescent="0.25">
      <c r="D535" s="25"/>
      <c r="E535" s="25"/>
      <c r="F535" s="28"/>
    </row>
    <row r="536" spans="4:6" ht="13.2" x14ac:dyDescent="0.25">
      <c r="D536" s="25"/>
      <c r="E536" s="25"/>
      <c r="F536" s="28"/>
    </row>
    <row r="537" spans="4:6" ht="13.2" x14ac:dyDescent="0.25">
      <c r="D537" s="25"/>
      <c r="E537" s="25"/>
      <c r="F537" s="28"/>
    </row>
    <row r="538" spans="4:6" ht="13.2" x14ac:dyDescent="0.25">
      <c r="D538" s="25"/>
      <c r="E538" s="25"/>
      <c r="F538" s="28"/>
    </row>
    <row r="539" spans="4:6" ht="13.2" x14ac:dyDescent="0.25">
      <c r="D539" s="25"/>
      <c r="E539" s="25"/>
      <c r="F539" s="28"/>
    </row>
    <row r="540" spans="4:6" ht="13.2" x14ac:dyDescent="0.25">
      <c r="D540" s="25"/>
      <c r="E540" s="25"/>
      <c r="F540" s="28"/>
    </row>
    <row r="541" spans="4:6" ht="13.2" x14ac:dyDescent="0.25">
      <c r="D541" s="25"/>
      <c r="E541" s="25"/>
      <c r="F541" s="28"/>
    </row>
    <row r="542" spans="4:6" ht="13.2" x14ac:dyDescent="0.25">
      <c r="D542" s="25"/>
      <c r="E542" s="25"/>
      <c r="F542" s="28"/>
    </row>
    <row r="543" spans="4:6" ht="13.2" x14ac:dyDescent="0.25">
      <c r="D543" s="25"/>
      <c r="E543" s="25"/>
      <c r="F543" s="28"/>
    </row>
    <row r="544" spans="4:6" ht="13.2" x14ac:dyDescent="0.25">
      <c r="D544" s="25"/>
      <c r="E544" s="25"/>
      <c r="F544" s="28"/>
    </row>
    <row r="545" spans="4:6" ht="13.2" x14ac:dyDescent="0.25">
      <c r="D545" s="25"/>
      <c r="E545" s="25"/>
      <c r="F545" s="28"/>
    </row>
    <row r="546" spans="4:6" ht="13.2" x14ac:dyDescent="0.25">
      <c r="D546" s="25"/>
      <c r="E546" s="25"/>
      <c r="F546" s="28"/>
    </row>
    <row r="547" spans="4:6" ht="13.2" x14ac:dyDescent="0.25">
      <c r="D547" s="25"/>
      <c r="E547" s="25"/>
      <c r="F547" s="28"/>
    </row>
    <row r="548" spans="4:6" ht="13.2" x14ac:dyDescent="0.25">
      <c r="D548" s="25"/>
      <c r="E548" s="25"/>
      <c r="F548" s="28"/>
    </row>
    <row r="549" spans="4:6" ht="13.2" x14ac:dyDescent="0.25">
      <c r="D549" s="25"/>
      <c r="E549" s="25"/>
      <c r="F549" s="28"/>
    </row>
    <row r="550" spans="4:6" ht="13.2" x14ac:dyDescent="0.25">
      <c r="D550" s="25"/>
      <c r="E550" s="25"/>
      <c r="F550" s="28"/>
    </row>
    <row r="551" spans="4:6" ht="13.2" x14ac:dyDescent="0.25">
      <c r="D551" s="25"/>
      <c r="E551" s="25"/>
      <c r="F551" s="28"/>
    </row>
    <row r="552" spans="4:6" ht="13.2" x14ac:dyDescent="0.25">
      <c r="D552" s="25"/>
      <c r="E552" s="25"/>
      <c r="F552" s="28"/>
    </row>
    <row r="553" spans="4:6" ht="13.2" x14ac:dyDescent="0.25">
      <c r="D553" s="25"/>
      <c r="E553" s="25"/>
      <c r="F553" s="28"/>
    </row>
    <row r="554" spans="4:6" ht="13.2" x14ac:dyDescent="0.25">
      <c r="D554" s="25"/>
      <c r="E554" s="25"/>
      <c r="F554" s="28"/>
    </row>
    <row r="555" spans="4:6" ht="13.2" x14ac:dyDescent="0.25">
      <c r="D555" s="25"/>
      <c r="E555" s="25"/>
      <c r="F555" s="28"/>
    </row>
    <row r="556" spans="4:6" ht="13.2" x14ac:dyDescent="0.25">
      <c r="D556" s="25"/>
      <c r="E556" s="25"/>
      <c r="F556" s="28"/>
    </row>
    <row r="557" spans="4:6" ht="13.2" x14ac:dyDescent="0.25">
      <c r="D557" s="25"/>
      <c r="E557" s="25"/>
      <c r="F557" s="28"/>
    </row>
    <row r="558" spans="4:6" ht="13.2" x14ac:dyDescent="0.25">
      <c r="D558" s="25"/>
      <c r="E558" s="25"/>
      <c r="F558" s="28"/>
    </row>
    <row r="559" spans="4:6" ht="13.2" x14ac:dyDescent="0.25">
      <c r="D559" s="25"/>
      <c r="E559" s="25"/>
      <c r="F559" s="28"/>
    </row>
    <row r="560" spans="4:6" ht="13.2" x14ac:dyDescent="0.25">
      <c r="D560" s="25"/>
      <c r="E560" s="25"/>
      <c r="F560" s="28"/>
    </row>
    <row r="561" spans="4:6" ht="13.2" x14ac:dyDescent="0.25">
      <c r="D561" s="25"/>
      <c r="E561" s="25"/>
      <c r="F561" s="28"/>
    </row>
    <row r="562" spans="4:6" ht="13.2" x14ac:dyDescent="0.25">
      <c r="D562" s="25"/>
      <c r="E562" s="25"/>
      <c r="F562" s="28"/>
    </row>
    <row r="563" spans="4:6" ht="13.2" x14ac:dyDescent="0.25">
      <c r="D563" s="25"/>
      <c r="E563" s="25"/>
      <c r="F563" s="28"/>
    </row>
    <row r="564" spans="4:6" ht="13.2" x14ac:dyDescent="0.25">
      <c r="D564" s="25"/>
      <c r="E564" s="25"/>
      <c r="F564" s="28"/>
    </row>
    <row r="565" spans="4:6" ht="13.2" x14ac:dyDescent="0.25">
      <c r="D565" s="25"/>
      <c r="E565" s="25"/>
      <c r="F565" s="28"/>
    </row>
    <row r="566" spans="4:6" ht="13.2" x14ac:dyDescent="0.25">
      <c r="D566" s="25"/>
      <c r="E566" s="25"/>
      <c r="F566" s="28"/>
    </row>
    <row r="567" spans="4:6" ht="13.2" x14ac:dyDescent="0.25">
      <c r="D567" s="25"/>
      <c r="E567" s="25"/>
      <c r="F567" s="28"/>
    </row>
    <row r="568" spans="4:6" ht="13.2" x14ac:dyDescent="0.25">
      <c r="D568" s="25"/>
      <c r="E568" s="25"/>
      <c r="F568" s="28"/>
    </row>
    <row r="569" spans="4:6" ht="13.2" x14ac:dyDescent="0.25">
      <c r="D569" s="25"/>
      <c r="E569" s="25"/>
      <c r="F569" s="28"/>
    </row>
    <row r="570" spans="4:6" ht="13.2" x14ac:dyDescent="0.25">
      <c r="D570" s="25"/>
      <c r="E570" s="25"/>
      <c r="F570" s="28"/>
    </row>
    <row r="571" spans="4:6" ht="13.2" x14ac:dyDescent="0.25">
      <c r="D571" s="25"/>
      <c r="E571" s="25"/>
      <c r="F571" s="28"/>
    </row>
    <row r="572" spans="4:6" ht="13.2" x14ac:dyDescent="0.25">
      <c r="D572" s="25"/>
      <c r="E572" s="25"/>
      <c r="F572" s="28"/>
    </row>
    <row r="573" spans="4:6" ht="13.2" x14ac:dyDescent="0.25">
      <c r="D573" s="25"/>
      <c r="E573" s="25"/>
      <c r="F573" s="28"/>
    </row>
    <row r="574" spans="4:6" ht="13.2" x14ac:dyDescent="0.25">
      <c r="D574" s="25"/>
      <c r="E574" s="25"/>
      <c r="F574" s="28"/>
    </row>
    <row r="575" spans="4:6" ht="13.2" x14ac:dyDescent="0.25">
      <c r="D575" s="25"/>
      <c r="E575" s="25"/>
      <c r="F575" s="28"/>
    </row>
    <row r="576" spans="4:6" ht="13.2" x14ac:dyDescent="0.25">
      <c r="D576" s="25"/>
      <c r="E576" s="25"/>
      <c r="F576" s="28"/>
    </row>
    <row r="577" spans="4:6" ht="13.2" x14ac:dyDescent="0.25">
      <c r="D577" s="25"/>
      <c r="E577" s="25"/>
      <c r="F577" s="28"/>
    </row>
    <row r="578" spans="4:6" ht="13.2" x14ac:dyDescent="0.25">
      <c r="D578" s="25"/>
      <c r="E578" s="25"/>
      <c r="F578" s="28"/>
    </row>
    <row r="579" spans="4:6" ht="13.2" x14ac:dyDescent="0.25">
      <c r="D579" s="25"/>
      <c r="E579" s="25"/>
      <c r="F579" s="28"/>
    </row>
    <row r="580" spans="4:6" ht="13.2" x14ac:dyDescent="0.25">
      <c r="D580" s="25"/>
      <c r="E580" s="25"/>
      <c r="F580" s="28"/>
    </row>
    <row r="581" spans="4:6" ht="13.2" x14ac:dyDescent="0.25">
      <c r="D581" s="25"/>
      <c r="E581" s="25"/>
      <c r="F581" s="28"/>
    </row>
    <row r="582" spans="4:6" ht="13.2" x14ac:dyDescent="0.25">
      <c r="D582" s="25"/>
      <c r="E582" s="25"/>
      <c r="F582" s="28"/>
    </row>
    <row r="583" spans="4:6" ht="13.2" x14ac:dyDescent="0.25">
      <c r="D583" s="25"/>
      <c r="E583" s="25"/>
      <c r="F583" s="28"/>
    </row>
    <row r="584" spans="4:6" ht="13.2" x14ac:dyDescent="0.25">
      <c r="D584" s="25"/>
      <c r="E584" s="25"/>
      <c r="F584" s="28"/>
    </row>
    <row r="585" spans="4:6" ht="13.2" x14ac:dyDescent="0.25">
      <c r="D585" s="25"/>
      <c r="E585" s="25"/>
      <c r="F585" s="28"/>
    </row>
    <row r="586" spans="4:6" ht="13.2" x14ac:dyDescent="0.25">
      <c r="D586" s="25"/>
      <c r="E586" s="25"/>
      <c r="F586" s="28"/>
    </row>
    <row r="587" spans="4:6" ht="13.2" x14ac:dyDescent="0.25">
      <c r="D587" s="25"/>
      <c r="E587" s="25"/>
      <c r="F587" s="28"/>
    </row>
    <row r="588" spans="4:6" ht="13.2" x14ac:dyDescent="0.25">
      <c r="D588" s="25"/>
      <c r="E588" s="25"/>
      <c r="F588" s="28"/>
    </row>
    <row r="589" spans="4:6" ht="13.2" x14ac:dyDescent="0.25">
      <c r="D589" s="25"/>
      <c r="E589" s="25"/>
      <c r="F589" s="28"/>
    </row>
    <row r="590" spans="4:6" ht="13.2" x14ac:dyDescent="0.25">
      <c r="D590" s="25"/>
      <c r="E590" s="25"/>
      <c r="F590" s="28"/>
    </row>
    <row r="591" spans="4:6" ht="13.2" x14ac:dyDescent="0.25">
      <c r="D591" s="25"/>
      <c r="E591" s="25"/>
      <c r="F591" s="28"/>
    </row>
    <row r="592" spans="4:6" ht="13.2" x14ac:dyDescent="0.25">
      <c r="D592" s="25"/>
      <c r="E592" s="25"/>
      <c r="F592" s="28"/>
    </row>
    <row r="593" spans="4:6" ht="13.2" x14ac:dyDescent="0.25">
      <c r="D593" s="25"/>
      <c r="E593" s="25"/>
      <c r="F593" s="28"/>
    </row>
    <row r="594" spans="4:6" ht="13.2" x14ac:dyDescent="0.25">
      <c r="D594" s="25"/>
      <c r="E594" s="25"/>
      <c r="F594" s="28"/>
    </row>
    <row r="595" spans="4:6" ht="13.2" x14ac:dyDescent="0.25">
      <c r="D595" s="25"/>
      <c r="E595" s="25"/>
      <c r="F595" s="28"/>
    </row>
    <row r="596" spans="4:6" ht="13.2" x14ac:dyDescent="0.25">
      <c r="D596" s="25"/>
      <c r="E596" s="25"/>
      <c r="F596" s="28"/>
    </row>
    <row r="597" spans="4:6" ht="13.2" x14ac:dyDescent="0.25">
      <c r="D597" s="25"/>
      <c r="E597" s="25"/>
      <c r="F597" s="28"/>
    </row>
    <row r="598" spans="4:6" ht="13.2" x14ac:dyDescent="0.25">
      <c r="D598" s="25"/>
      <c r="E598" s="25"/>
      <c r="F598" s="28"/>
    </row>
    <row r="599" spans="4:6" ht="13.2" x14ac:dyDescent="0.25">
      <c r="D599" s="25"/>
      <c r="E599" s="25"/>
      <c r="F599" s="28"/>
    </row>
    <row r="600" spans="4:6" ht="13.2" x14ac:dyDescent="0.25">
      <c r="D600" s="25"/>
      <c r="E600" s="25"/>
      <c r="F600" s="28"/>
    </row>
    <row r="601" spans="4:6" ht="13.2" x14ac:dyDescent="0.25">
      <c r="D601" s="25"/>
      <c r="E601" s="25"/>
      <c r="F601" s="28"/>
    </row>
    <row r="602" spans="4:6" ht="13.2" x14ac:dyDescent="0.25">
      <c r="D602" s="25"/>
      <c r="E602" s="25"/>
      <c r="F602" s="28"/>
    </row>
    <row r="603" spans="4:6" ht="13.2" x14ac:dyDescent="0.25">
      <c r="D603" s="25"/>
      <c r="E603" s="25"/>
      <c r="F603" s="28"/>
    </row>
    <row r="604" spans="4:6" ht="13.2" x14ac:dyDescent="0.25">
      <c r="D604" s="25"/>
      <c r="E604" s="25"/>
      <c r="F604" s="28"/>
    </row>
    <row r="605" spans="4:6" ht="13.2" x14ac:dyDescent="0.25">
      <c r="D605" s="25"/>
      <c r="E605" s="25"/>
      <c r="F605" s="28"/>
    </row>
    <row r="606" spans="4:6" ht="13.2" x14ac:dyDescent="0.25">
      <c r="D606" s="25"/>
      <c r="E606" s="25"/>
      <c r="F606" s="28"/>
    </row>
    <row r="607" spans="4:6" ht="13.2" x14ac:dyDescent="0.25">
      <c r="D607" s="25"/>
      <c r="E607" s="25"/>
      <c r="F607" s="28"/>
    </row>
    <row r="608" spans="4:6" ht="13.2" x14ac:dyDescent="0.25">
      <c r="D608" s="25"/>
      <c r="E608" s="25"/>
      <c r="F608" s="28"/>
    </row>
    <row r="609" spans="4:6" ht="13.2" x14ac:dyDescent="0.25">
      <c r="D609" s="25"/>
      <c r="E609" s="25"/>
      <c r="F609" s="28"/>
    </row>
    <row r="610" spans="4:6" ht="13.2" x14ac:dyDescent="0.25">
      <c r="D610" s="25"/>
      <c r="E610" s="25"/>
      <c r="F610" s="28"/>
    </row>
    <row r="611" spans="4:6" ht="13.2" x14ac:dyDescent="0.25">
      <c r="D611" s="25"/>
      <c r="E611" s="25"/>
      <c r="F611" s="28"/>
    </row>
    <row r="612" spans="4:6" ht="13.2" x14ac:dyDescent="0.25">
      <c r="D612" s="25"/>
      <c r="E612" s="25"/>
      <c r="F612" s="28"/>
    </row>
    <row r="613" spans="4:6" ht="13.2" x14ac:dyDescent="0.25">
      <c r="D613" s="25"/>
      <c r="E613" s="25"/>
      <c r="F613" s="28"/>
    </row>
    <row r="614" spans="4:6" ht="13.2" x14ac:dyDescent="0.25">
      <c r="D614" s="25"/>
      <c r="E614" s="25"/>
      <c r="F614" s="28"/>
    </row>
    <row r="615" spans="4:6" ht="13.2" x14ac:dyDescent="0.25">
      <c r="D615" s="25"/>
      <c r="E615" s="25"/>
      <c r="F615" s="28"/>
    </row>
    <row r="616" spans="4:6" ht="13.2" x14ac:dyDescent="0.25">
      <c r="D616" s="25"/>
      <c r="E616" s="25"/>
      <c r="F616" s="28"/>
    </row>
    <row r="617" spans="4:6" ht="13.2" x14ac:dyDescent="0.25">
      <c r="D617" s="25"/>
      <c r="E617" s="25"/>
      <c r="F617" s="28"/>
    </row>
    <row r="618" spans="4:6" ht="13.2" x14ac:dyDescent="0.25">
      <c r="D618" s="25"/>
      <c r="E618" s="25"/>
      <c r="F618" s="28"/>
    </row>
    <row r="619" spans="4:6" ht="13.2" x14ac:dyDescent="0.25">
      <c r="D619" s="25"/>
      <c r="E619" s="25"/>
      <c r="F619" s="28"/>
    </row>
    <row r="620" spans="4:6" ht="13.2" x14ac:dyDescent="0.25">
      <c r="D620" s="25"/>
      <c r="E620" s="25"/>
      <c r="F620" s="28"/>
    </row>
    <row r="621" spans="4:6" ht="13.2" x14ac:dyDescent="0.25">
      <c r="D621" s="25"/>
      <c r="E621" s="25"/>
      <c r="F621" s="28"/>
    </row>
    <row r="622" spans="4:6" ht="13.2" x14ac:dyDescent="0.25">
      <c r="D622" s="25"/>
      <c r="E622" s="25"/>
      <c r="F622" s="28"/>
    </row>
    <row r="623" spans="4:6" ht="13.2" x14ac:dyDescent="0.25">
      <c r="D623" s="25"/>
      <c r="E623" s="25"/>
      <c r="F623" s="28"/>
    </row>
    <row r="624" spans="4:6" ht="13.2" x14ac:dyDescent="0.25">
      <c r="D624" s="25"/>
      <c r="E624" s="25"/>
      <c r="F624" s="28"/>
    </row>
    <row r="625" spans="4:6" ht="13.2" x14ac:dyDescent="0.25">
      <c r="D625" s="25"/>
      <c r="E625" s="25"/>
      <c r="F625" s="28"/>
    </row>
    <row r="626" spans="4:6" ht="13.2" x14ac:dyDescent="0.25">
      <c r="D626" s="25"/>
      <c r="E626" s="25"/>
      <c r="F626" s="28"/>
    </row>
    <row r="627" spans="4:6" ht="13.2" x14ac:dyDescent="0.25">
      <c r="D627" s="25"/>
      <c r="E627" s="25"/>
      <c r="F627" s="28"/>
    </row>
    <row r="628" spans="4:6" ht="13.2" x14ac:dyDescent="0.25">
      <c r="D628" s="25"/>
      <c r="E628" s="25"/>
      <c r="F628" s="28"/>
    </row>
    <row r="629" spans="4:6" ht="13.2" x14ac:dyDescent="0.25">
      <c r="D629" s="25"/>
      <c r="E629" s="25"/>
      <c r="F629" s="28"/>
    </row>
    <row r="630" spans="4:6" ht="13.2" x14ac:dyDescent="0.25">
      <c r="D630" s="25"/>
      <c r="E630" s="25"/>
      <c r="F630" s="28"/>
    </row>
    <row r="631" spans="4:6" ht="13.2" x14ac:dyDescent="0.25">
      <c r="D631" s="25"/>
      <c r="E631" s="25"/>
      <c r="F631" s="28"/>
    </row>
    <row r="632" spans="4:6" ht="13.2" x14ac:dyDescent="0.25">
      <c r="D632" s="25"/>
      <c r="E632" s="25"/>
      <c r="F632" s="28"/>
    </row>
    <row r="633" spans="4:6" ht="13.2" x14ac:dyDescent="0.25">
      <c r="D633" s="25"/>
      <c r="E633" s="25"/>
      <c r="F633" s="28"/>
    </row>
    <row r="634" spans="4:6" ht="13.2" x14ac:dyDescent="0.25">
      <c r="D634" s="25"/>
      <c r="E634" s="25"/>
      <c r="F634" s="28"/>
    </row>
    <row r="635" spans="4:6" ht="13.2" x14ac:dyDescent="0.25">
      <c r="D635" s="25"/>
      <c r="E635" s="25"/>
      <c r="F635" s="28"/>
    </row>
    <row r="636" spans="4:6" ht="13.2" x14ac:dyDescent="0.25">
      <c r="D636" s="25"/>
      <c r="E636" s="25"/>
      <c r="F636" s="28"/>
    </row>
    <row r="637" spans="4:6" ht="13.2" x14ac:dyDescent="0.25">
      <c r="D637" s="25"/>
      <c r="E637" s="25"/>
      <c r="F637" s="28"/>
    </row>
    <row r="638" spans="4:6" ht="13.2" x14ac:dyDescent="0.25">
      <c r="D638" s="25"/>
      <c r="E638" s="25"/>
      <c r="F638" s="28"/>
    </row>
    <row r="639" spans="4:6" ht="13.2" x14ac:dyDescent="0.25">
      <c r="D639" s="25"/>
      <c r="E639" s="25"/>
      <c r="F639" s="28"/>
    </row>
    <row r="640" spans="4:6" ht="13.2" x14ac:dyDescent="0.25">
      <c r="D640" s="25"/>
      <c r="E640" s="25"/>
      <c r="F640" s="28"/>
    </row>
    <row r="641" spans="4:6" ht="13.2" x14ac:dyDescent="0.25">
      <c r="D641" s="25"/>
      <c r="E641" s="25"/>
      <c r="F641" s="28"/>
    </row>
    <row r="642" spans="4:6" ht="13.2" x14ac:dyDescent="0.25">
      <c r="D642" s="25"/>
      <c r="E642" s="25"/>
      <c r="F642" s="28"/>
    </row>
    <row r="643" spans="4:6" ht="13.2" x14ac:dyDescent="0.25">
      <c r="D643" s="25"/>
      <c r="E643" s="25"/>
      <c r="F643" s="28"/>
    </row>
    <row r="644" spans="4:6" ht="13.2" x14ac:dyDescent="0.25">
      <c r="D644" s="25"/>
      <c r="E644" s="25"/>
      <c r="F644" s="28"/>
    </row>
    <row r="645" spans="4:6" ht="13.2" x14ac:dyDescent="0.25">
      <c r="D645" s="25"/>
      <c r="E645" s="25"/>
      <c r="F645" s="28"/>
    </row>
    <row r="646" spans="4:6" ht="13.2" x14ac:dyDescent="0.25">
      <c r="D646" s="25"/>
      <c r="E646" s="25"/>
      <c r="F646" s="28"/>
    </row>
    <row r="647" spans="4:6" ht="13.2" x14ac:dyDescent="0.25">
      <c r="D647" s="25"/>
      <c r="E647" s="25"/>
      <c r="F647" s="28"/>
    </row>
    <row r="648" spans="4:6" ht="13.2" x14ac:dyDescent="0.25">
      <c r="D648" s="25"/>
      <c r="E648" s="25"/>
      <c r="F648" s="28"/>
    </row>
    <row r="649" spans="4:6" ht="13.2" x14ac:dyDescent="0.25">
      <c r="D649" s="25"/>
      <c r="E649" s="25"/>
      <c r="F649" s="28"/>
    </row>
    <row r="650" spans="4:6" ht="13.2" x14ac:dyDescent="0.25">
      <c r="D650" s="25"/>
      <c r="E650" s="25"/>
      <c r="F650" s="28"/>
    </row>
    <row r="651" spans="4:6" ht="13.2" x14ac:dyDescent="0.25">
      <c r="D651" s="25"/>
      <c r="E651" s="25"/>
      <c r="F651" s="28"/>
    </row>
    <row r="652" spans="4:6" ht="13.2" x14ac:dyDescent="0.25">
      <c r="D652" s="25"/>
      <c r="E652" s="25"/>
      <c r="F652" s="28"/>
    </row>
    <row r="653" spans="4:6" ht="13.2" x14ac:dyDescent="0.25">
      <c r="D653" s="25"/>
      <c r="E653" s="25"/>
      <c r="F653" s="28"/>
    </row>
    <row r="654" spans="4:6" ht="13.2" x14ac:dyDescent="0.25">
      <c r="D654" s="25"/>
      <c r="E654" s="25"/>
      <c r="F654" s="28"/>
    </row>
    <row r="655" spans="4:6" ht="13.2" x14ac:dyDescent="0.25">
      <c r="D655" s="25"/>
      <c r="E655" s="25"/>
      <c r="F655" s="28"/>
    </row>
    <row r="656" spans="4:6" ht="13.2" x14ac:dyDescent="0.25">
      <c r="D656" s="25"/>
      <c r="E656" s="25"/>
      <c r="F656" s="28"/>
    </row>
    <row r="657" spans="4:6" ht="13.2" x14ac:dyDescent="0.25">
      <c r="D657" s="25"/>
      <c r="E657" s="25"/>
      <c r="F657" s="28"/>
    </row>
    <row r="658" spans="4:6" ht="13.2" x14ac:dyDescent="0.25">
      <c r="D658" s="25"/>
      <c r="E658" s="25"/>
      <c r="F658" s="28"/>
    </row>
    <row r="659" spans="4:6" ht="13.2" x14ac:dyDescent="0.25">
      <c r="D659" s="25"/>
      <c r="E659" s="25"/>
      <c r="F659" s="28"/>
    </row>
    <row r="660" spans="4:6" ht="13.2" x14ac:dyDescent="0.25">
      <c r="D660" s="25"/>
      <c r="E660" s="25"/>
      <c r="F660" s="28"/>
    </row>
    <row r="661" spans="4:6" ht="13.2" x14ac:dyDescent="0.25">
      <c r="D661" s="25"/>
      <c r="E661" s="25"/>
      <c r="F661" s="28"/>
    </row>
    <row r="662" spans="4:6" ht="13.2" x14ac:dyDescent="0.25">
      <c r="D662" s="25"/>
      <c r="E662" s="25"/>
      <c r="F662" s="28"/>
    </row>
    <row r="663" spans="4:6" ht="13.2" x14ac:dyDescent="0.25">
      <c r="D663" s="25"/>
      <c r="E663" s="25"/>
      <c r="F663" s="28"/>
    </row>
    <row r="664" spans="4:6" ht="13.2" x14ac:dyDescent="0.25">
      <c r="D664" s="25"/>
      <c r="E664" s="25"/>
      <c r="F664" s="28"/>
    </row>
    <row r="665" spans="4:6" ht="13.2" x14ac:dyDescent="0.25">
      <c r="D665" s="25"/>
      <c r="E665" s="25"/>
      <c r="F665" s="28"/>
    </row>
    <row r="666" spans="4:6" ht="13.2" x14ac:dyDescent="0.25">
      <c r="D666" s="25"/>
      <c r="E666" s="25"/>
      <c r="F666" s="28"/>
    </row>
    <row r="667" spans="4:6" ht="13.2" x14ac:dyDescent="0.25">
      <c r="D667" s="25"/>
      <c r="E667" s="25"/>
      <c r="F667" s="28"/>
    </row>
    <row r="668" spans="4:6" ht="13.2" x14ac:dyDescent="0.25">
      <c r="D668" s="25"/>
      <c r="E668" s="25"/>
      <c r="F668" s="28"/>
    </row>
    <row r="669" spans="4:6" ht="13.2" x14ac:dyDescent="0.25">
      <c r="D669" s="25"/>
      <c r="E669" s="25"/>
      <c r="F669" s="28"/>
    </row>
    <row r="670" spans="4:6" ht="13.2" x14ac:dyDescent="0.25">
      <c r="D670" s="25"/>
      <c r="E670" s="25"/>
      <c r="F670" s="28"/>
    </row>
    <row r="671" spans="4:6" ht="13.2" x14ac:dyDescent="0.25">
      <c r="D671" s="25"/>
      <c r="E671" s="25"/>
      <c r="F671" s="28"/>
    </row>
    <row r="672" spans="4:6" ht="13.2" x14ac:dyDescent="0.25">
      <c r="D672" s="25"/>
      <c r="E672" s="25"/>
      <c r="F672" s="28"/>
    </row>
    <row r="673" spans="4:6" ht="13.2" x14ac:dyDescent="0.25">
      <c r="D673" s="25"/>
      <c r="E673" s="25"/>
      <c r="F673" s="28"/>
    </row>
    <row r="674" spans="4:6" ht="13.2" x14ac:dyDescent="0.25">
      <c r="D674" s="25"/>
      <c r="E674" s="25"/>
      <c r="F674" s="28"/>
    </row>
    <row r="675" spans="4:6" ht="13.2" x14ac:dyDescent="0.25">
      <c r="D675" s="25"/>
      <c r="E675" s="25"/>
      <c r="F675" s="28"/>
    </row>
    <row r="676" spans="4:6" ht="13.2" x14ac:dyDescent="0.25">
      <c r="D676" s="25"/>
      <c r="E676" s="25"/>
      <c r="F676" s="28"/>
    </row>
    <row r="677" spans="4:6" ht="13.2" x14ac:dyDescent="0.25">
      <c r="D677" s="25"/>
      <c r="E677" s="25"/>
      <c r="F677" s="28"/>
    </row>
    <row r="678" spans="4:6" ht="13.2" x14ac:dyDescent="0.25">
      <c r="D678" s="25"/>
      <c r="E678" s="25"/>
      <c r="F678" s="28"/>
    </row>
    <row r="679" spans="4:6" ht="13.2" x14ac:dyDescent="0.25">
      <c r="D679" s="25"/>
      <c r="E679" s="25"/>
      <c r="F679" s="28"/>
    </row>
    <row r="680" spans="4:6" ht="13.2" x14ac:dyDescent="0.25">
      <c r="D680" s="25"/>
      <c r="E680" s="25"/>
      <c r="F680" s="28"/>
    </row>
    <row r="681" spans="4:6" ht="13.2" x14ac:dyDescent="0.25">
      <c r="D681" s="25"/>
      <c r="E681" s="25"/>
      <c r="F681" s="28"/>
    </row>
    <row r="682" spans="4:6" ht="13.2" x14ac:dyDescent="0.25">
      <c r="D682" s="25"/>
      <c r="E682" s="25"/>
      <c r="F682" s="28"/>
    </row>
    <row r="683" spans="4:6" ht="13.2" x14ac:dyDescent="0.25">
      <c r="D683" s="25"/>
      <c r="E683" s="25"/>
      <c r="F683" s="28"/>
    </row>
    <row r="684" spans="4:6" ht="13.2" x14ac:dyDescent="0.25">
      <c r="D684" s="25"/>
      <c r="E684" s="25"/>
      <c r="F684" s="28"/>
    </row>
    <row r="685" spans="4:6" ht="13.2" x14ac:dyDescent="0.25">
      <c r="D685" s="25"/>
      <c r="E685" s="25"/>
      <c r="F685" s="28"/>
    </row>
    <row r="686" spans="4:6" ht="13.2" x14ac:dyDescent="0.25">
      <c r="D686" s="25"/>
      <c r="E686" s="25"/>
      <c r="F686" s="28"/>
    </row>
    <row r="687" spans="4:6" ht="13.2" x14ac:dyDescent="0.25">
      <c r="D687" s="25"/>
      <c r="E687" s="25"/>
      <c r="F687" s="28"/>
    </row>
    <row r="688" spans="4:6" ht="13.2" x14ac:dyDescent="0.25">
      <c r="D688" s="25"/>
      <c r="E688" s="25"/>
      <c r="F688" s="28"/>
    </row>
    <row r="689" spans="4:6" ht="13.2" x14ac:dyDescent="0.25">
      <c r="D689" s="25"/>
      <c r="E689" s="25"/>
      <c r="F689" s="28"/>
    </row>
    <row r="690" spans="4:6" ht="13.2" x14ac:dyDescent="0.25">
      <c r="D690" s="25"/>
      <c r="E690" s="25"/>
      <c r="F690" s="28"/>
    </row>
    <row r="691" spans="4:6" ht="13.2" x14ac:dyDescent="0.25">
      <c r="D691" s="25"/>
      <c r="E691" s="25"/>
      <c r="F691" s="28"/>
    </row>
    <row r="692" spans="4:6" ht="13.2" x14ac:dyDescent="0.25">
      <c r="D692" s="25"/>
      <c r="E692" s="25"/>
      <c r="F692" s="28"/>
    </row>
    <row r="693" spans="4:6" ht="13.2" x14ac:dyDescent="0.25">
      <c r="D693" s="25"/>
      <c r="E693" s="25"/>
      <c r="F693" s="28"/>
    </row>
    <row r="694" spans="4:6" ht="13.2" x14ac:dyDescent="0.25">
      <c r="D694" s="25"/>
      <c r="E694" s="25"/>
      <c r="F694" s="28"/>
    </row>
    <row r="695" spans="4:6" ht="13.2" x14ac:dyDescent="0.25">
      <c r="D695" s="25"/>
      <c r="E695" s="25"/>
      <c r="F695" s="28"/>
    </row>
    <row r="696" spans="4:6" ht="13.2" x14ac:dyDescent="0.25">
      <c r="D696" s="25"/>
      <c r="E696" s="25"/>
      <c r="F696" s="28"/>
    </row>
    <row r="697" spans="4:6" ht="13.2" x14ac:dyDescent="0.25">
      <c r="D697" s="25"/>
      <c r="E697" s="25"/>
      <c r="F697" s="28"/>
    </row>
    <row r="698" spans="4:6" ht="13.2" x14ac:dyDescent="0.25">
      <c r="D698" s="25"/>
      <c r="E698" s="25"/>
      <c r="F698" s="28"/>
    </row>
    <row r="699" spans="4:6" ht="13.2" x14ac:dyDescent="0.25">
      <c r="D699" s="25"/>
      <c r="E699" s="25"/>
      <c r="F699" s="28"/>
    </row>
    <row r="700" spans="4:6" ht="13.2" x14ac:dyDescent="0.25">
      <c r="D700" s="25"/>
      <c r="E700" s="25"/>
      <c r="F700" s="28"/>
    </row>
    <row r="701" spans="4:6" ht="13.2" x14ac:dyDescent="0.25">
      <c r="D701" s="25"/>
      <c r="E701" s="25"/>
      <c r="F701" s="28"/>
    </row>
    <row r="702" spans="4:6" ht="13.2" x14ac:dyDescent="0.25">
      <c r="D702" s="25"/>
      <c r="E702" s="25"/>
      <c r="F702" s="28"/>
    </row>
    <row r="703" spans="4:6" ht="13.2" x14ac:dyDescent="0.25">
      <c r="D703" s="25"/>
      <c r="E703" s="25"/>
      <c r="F703" s="28"/>
    </row>
    <row r="704" spans="4:6" ht="13.2" x14ac:dyDescent="0.25">
      <c r="D704" s="25"/>
      <c r="E704" s="25"/>
      <c r="F704" s="28"/>
    </row>
    <row r="705" spans="4:6" ht="13.2" x14ac:dyDescent="0.25">
      <c r="D705" s="25"/>
      <c r="E705" s="25"/>
      <c r="F705" s="28"/>
    </row>
    <row r="706" spans="4:6" ht="13.2" x14ac:dyDescent="0.25">
      <c r="D706" s="25"/>
      <c r="E706" s="25"/>
      <c r="F706" s="28"/>
    </row>
    <row r="707" spans="4:6" ht="13.2" x14ac:dyDescent="0.25">
      <c r="D707" s="25"/>
      <c r="E707" s="25"/>
      <c r="F707" s="28"/>
    </row>
    <row r="708" spans="4:6" ht="13.2" x14ac:dyDescent="0.25">
      <c r="D708" s="25"/>
      <c r="E708" s="25"/>
      <c r="F708" s="28"/>
    </row>
    <row r="709" spans="4:6" ht="13.2" x14ac:dyDescent="0.25">
      <c r="D709" s="25"/>
      <c r="E709" s="25"/>
      <c r="F709" s="28"/>
    </row>
    <row r="710" spans="4:6" ht="13.2" x14ac:dyDescent="0.25">
      <c r="D710" s="25"/>
      <c r="E710" s="25"/>
      <c r="F710" s="28"/>
    </row>
    <row r="711" spans="4:6" ht="13.2" x14ac:dyDescent="0.25">
      <c r="D711" s="25"/>
      <c r="E711" s="25"/>
      <c r="F711" s="28"/>
    </row>
    <row r="712" spans="4:6" ht="13.2" x14ac:dyDescent="0.25">
      <c r="D712" s="25"/>
      <c r="E712" s="25"/>
      <c r="F712" s="28"/>
    </row>
    <row r="713" spans="4:6" ht="13.2" x14ac:dyDescent="0.25">
      <c r="D713" s="25"/>
      <c r="E713" s="25"/>
      <c r="F713" s="28"/>
    </row>
    <row r="714" spans="4:6" ht="13.2" x14ac:dyDescent="0.25">
      <c r="D714" s="25"/>
      <c r="E714" s="25"/>
      <c r="F714" s="28"/>
    </row>
    <row r="715" spans="4:6" ht="13.2" x14ac:dyDescent="0.25">
      <c r="D715" s="25"/>
      <c r="E715" s="25"/>
      <c r="F715" s="28"/>
    </row>
    <row r="716" spans="4:6" ht="13.2" x14ac:dyDescent="0.25">
      <c r="D716" s="25"/>
      <c r="E716" s="25"/>
      <c r="F716" s="28"/>
    </row>
    <row r="717" spans="4:6" ht="13.2" x14ac:dyDescent="0.25">
      <c r="D717" s="25"/>
      <c r="E717" s="25"/>
      <c r="F717" s="28"/>
    </row>
    <row r="718" spans="4:6" ht="13.2" x14ac:dyDescent="0.25">
      <c r="D718" s="25"/>
      <c r="E718" s="25"/>
      <c r="F718" s="28"/>
    </row>
    <row r="719" spans="4:6" ht="13.2" x14ac:dyDescent="0.25">
      <c r="D719" s="25"/>
      <c r="E719" s="25"/>
      <c r="F719" s="28"/>
    </row>
    <row r="720" spans="4:6" ht="13.2" x14ac:dyDescent="0.25">
      <c r="D720" s="25"/>
      <c r="E720" s="25"/>
      <c r="F720" s="28"/>
    </row>
    <row r="721" spans="4:6" ht="13.2" x14ac:dyDescent="0.25">
      <c r="D721" s="25"/>
      <c r="E721" s="25"/>
      <c r="F721" s="28"/>
    </row>
    <row r="722" spans="4:6" ht="13.2" x14ac:dyDescent="0.25">
      <c r="D722" s="25"/>
      <c r="E722" s="25"/>
      <c r="F722" s="28"/>
    </row>
    <row r="723" spans="4:6" ht="13.2" x14ac:dyDescent="0.25">
      <c r="D723" s="25"/>
      <c r="E723" s="25"/>
      <c r="F723" s="28"/>
    </row>
    <row r="724" spans="4:6" ht="13.2" x14ac:dyDescent="0.25">
      <c r="D724" s="25"/>
      <c r="E724" s="25"/>
      <c r="F724" s="28"/>
    </row>
    <row r="725" spans="4:6" ht="13.2" x14ac:dyDescent="0.25">
      <c r="D725" s="25"/>
      <c r="E725" s="25"/>
      <c r="F725" s="28"/>
    </row>
    <row r="726" spans="4:6" ht="13.2" x14ac:dyDescent="0.25">
      <c r="D726" s="25"/>
      <c r="E726" s="25"/>
      <c r="F726" s="28"/>
    </row>
    <row r="727" spans="4:6" ht="13.2" x14ac:dyDescent="0.25">
      <c r="D727" s="25"/>
      <c r="E727" s="25"/>
      <c r="F727" s="28"/>
    </row>
    <row r="728" spans="4:6" ht="13.2" x14ac:dyDescent="0.25">
      <c r="D728" s="25"/>
      <c r="E728" s="25"/>
      <c r="F728" s="28"/>
    </row>
    <row r="729" spans="4:6" ht="13.2" x14ac:dyDescent="0.25">
      <c r="D729" s="25"/>
      <c r="E729" s="25"/>
      <c r="F729" s="28"/>
    </row>
    <row r="730" spans="4:6" ht="13.2" x14ac:dyDescent="0.25">
      <c r="D730" s="25"/>
      <c r="E730" s="25"/>
      <c r="F730" s="28"/>
    </row>
    <row r="731" spans="4:6" ht="13.2" x14ac:dyDescent="0.25">
      <c r="D731" s="25"/>
      <c r="E731" s="25"/>
      <c r="F731" s="28"/>
    </row>
    <row r="732" spans="4:6" ht="13.2" x14ac:dyDescent="0.25">
      <c r="D732" s="25"/>
      <c r="E732" s="25"/>
      <c r="F732" s="28"/>
    </row>
    <row r="733" spans="4:6" ht="13.2" x14ac:dyDescent="0.25">
      <c r="D733" s="25"/>
      <c r="E733" s="25"/>
      <c r="F733" s="28"/>
    </row>
    <row r="734" spans="4:6" ht="13.2" x14ac:dyDescent="0.25">
      <c r="D734" s="25"/>
      <c r="E734" s="25"/>
      <c r="F734" s="28"/>
    </row>
    <row r="735" spans="4:6" ht="13.2" x14ac:dyDescent="0.25">
      <c r="D735" s="25"/>
      <c r="E735" s="25"/>
      <c r="F735" s="28"/>
    </row>
    <row r="736" spans="4:6" ht="13.2" x14ac:dyDescent="0.25">
      <c r="D736" s="25"/>
      <c r="E736" s="25"/>
      <c r="F736" s="28"/>
    </row>
    <row r="737" spans="4:6" ht="13.2" x14ac:dyDescent="0.25">
      <c r="D737" s="25"/>
      <c r="E737" s="25"/>
      <c r="F737" s="28"/>
    </row>
    <row r="738" spans="4:6" ht="13.2" x14ac:dyDescent="0.25">
      <c r="D738" s="25"/>
      <c r="E738" s="25"/>
      <c r="F738" s="28"/>
    </row>
    <row r="739" spans="4:6" ht="13.2" x14ac:dyDescent="0.25">
      <c r="D739" s="25"/>
      <c r="E739" s="25"/>
      <c r="F739" s="28"/>
    </row>
    <row r="740" spans="4:6" ht="13.2" x14ac:dyDescent="0.25">
      <c r="D740" s="25"/>
      <c r="E740" s="25"/>
      <c r="F740" s="28"/>
    </row>
    <row r="741" spans="4:6" ht="13.2" x14ac:dyDescent="0.25">
      <c r="D741" s="25"/>
      <c r="E741" s="25"/>
      <c r="F741" s="28"/>
    </row>
    <row r="742" spans="4:6" ht="13.2" x14ac:dyDescent="0.25">
      <c r="D742" s="25"/>
      <c r="E742" s="25"/>
      <c r="F742" s="28"/>
    </row>
    <row r="743" spans="4:6" ht="13.2" x14ac:dyDescent="0.25">
      <c r="D743" s="25"/>
      <c r="E743" s="25"/>
      <c r="F743" s="28"/>
    </row>
    <row r="744" spans="4:6" ht="13.2" x14ac:dyDescent="0.25">
      <c r="D744" s="25"/>
      <c r="E744" s="25"/>
      <c r="F744" s="28"/>
    </row>
    <row r="745" spans="4:6" ht="13.2" x14ac:dyDescent="0.25">
      <c r="D745" s="25"/>
      <c r="E745" s="25"/>
      <c r="F745" s="28"/>
    </row>
    <row r="746" spans="4:6" ht="13.2" x14ac:dyDescent="0.25">
      <c r="D746" s="25"/>
      <c r="E746" s="25"/>
      <c r="F746" s="28"/>
    </row>
    <row r="747" spans="4:6" ht="13.2" x14ac:dyDescent="0.25">
      <c r="D747" s="25"/>
      <c r="E747" s="25"/>
      <c r="F747" s="28"/>
    </row>
    <row r="748" spans="4:6" ht="13.2" x14ac:dyDescent="0.25">
      <c r="D748" s="25"/>
      <c r="E748" s="25"/>
      <c r="F748" s="28"/>
    </row>
    <row r="749" spans="4:6" ht="13.2" x14ac:dyDescent="0.25">
      <c r="D749" s="25"/>
      <c r="E749" s="25"/>
      <c r="F749" s="28"/>
    </row>
    <row r="750" spans="4:6" ht="13.2" x14ac:dyDescent="0.25">
      <c r="D750" s="25"/>
      <c r="E750" s="25"/>
      <c r="F750" s="28"/>
    </row>
    <row r="751" spans="4:6" ht="13.2" x14ac:dyDescent="0.25">
      <c r="D751" s="25"/>
      <c r="E751" s="25"/>
      <c r="F751" s="28"/>
    </row>
    <row r="752" spans="4:6" ht="13.2" x14ac:dyDescent="0.25">
      <c r="D752" s="25"/>
      <c r="E752" s="25"/>
      <c r="F752" s="28"/>
    </row>
    <row r="753" spans="4:6" ht="13.2" x14ac:dyDescent="0.25">
      <c r="D753" s="25"/>
      <c r="E753" s="25"/>
      <c r="F753" s="28"/>
    </row>
    <row r="754" spans="4:6" ht="13.2" x14ac:dyDescent="0.25">
      <c r="D754" s="25"/>
      <c r="E754" s="25"/>
      <c r="F754" s="28"/>
    </row>
    <row r="755" spans="4:6" ht="13.2" x14ac:dyDescent="0.25">
      <c r="D755" s="25"/>
      <c r="E755" s="25"/>
      <c r="F755" s="28"/>
    </row>
    <row r="756" spans="4:6" ht="13.2" x14ac:dyDescent="0.25">
      <c r="D756" s="25"/>
      <c r="E756" s="25"/>
      <c r="F756" s="28"/>
    </row>
    <row r="757" spans="4:6" ht="13.2" x14ac:dyDescent="0.25">
      <c r="D757" s="25"/>
      <c r="E757" s="25"/>
      <c r="F757" s="28"/>
    </row>
    <row r="758" spans="4:6" ht="13.2" x14ac:dyDescent="0.25">
      <c r="D758" s="25"/>
      <c r="E758" s="25"/>
      <c r="F758" s="28"/>
    </row>
    <row r="759" spans="4:6" ht="13.2" x14ac:dyDescent="0.25">
      <c r="D759" s="25"/>
      <c r="E759" s="25"/>
      <c r="F759" s="28"/>
    </row>
    <row r="760" spans="4:6" ht="13.2" x14ac:dyDescent="0.25">
      <c r="D760" s="25"/>
      <c r="E760" s="25"/>
      <c r="F760" s="28"/>
    </row>
    <row r="761" spans="4:6" ht="13.2" x14ac:dyDescent="0.25">
      <c r="D761" s="25"/>
      <c r="E761" s="25"/>
      <c r="F761" s="28"/>
    </row>
    <row r="762" spans="4:6" ht="13.2" x14ac:dyDescent="0.25">
      <c r="D762" s="25"/>
      <c r="E762" s="25"/>
      <c r="F762" s="28"/>
    </row>
    <row r="763" spans="4:6" ht="13.2" x14ac:dyDescent="0.25">
      <c r="D763" s="25"/>
      <c r="E763" s="25"/>
      <c r="F763" s="28"/>
    </row>
    <row r="764" spans="4:6" ht="13.2" x14ac:dyDescent="0.25">
      <c r="D764" s="25"/>
      <c r="E764" s="25"/>
      <c r="F764" s="28"/>
    </row>
    <row r="765" spans="4:6" ht="13.2" x14ac:dyDescent="0.25">
      <c r="D765" s="25"/>
      <c r="E765" s="25"/>
      <c r="F765" s="28"/>
    </row>
    <row r="766" spans="4:6" ht="13.2" x14ac:dyDescent="0.25">
      <c r="D766" s="25"/>
      <c r="E766" s="25"/>
      <c r="F766" s="28"/>
    </row>
    <row r="767" spans="4:6" ht="13.2" x14ac:dyDescent="0.25">
      <c r="D767" s="25"/>
      <c r="E767" s="25"/>
      <c r="F767" s="28"/>
    </row>
    <row r="768" spans="4:6" ht="13.2" x14ac:dyDescent="0.25">
      <c r="D768" s="25"/>
      <c r="E768" s="25"/>
      <c r="F768" s="28"/>
    </row>
    <row r="769" spans="4:6" ht="13.2" x14ac:dyDescent="0.25">
      <c r="D769" s="25"/>
      <c r="E769" s="25"/>
      <c r="F769" s="28"/>
    </row>
    <row r="770" spans="4:6" ht="13.2" x14ac:dyDescent="0.25">
      <c r="D770" s="25"/>
      <c r="E770" s="25"/>
      <c r="F770" s="28"/>
    </row>
    <row r="771" spans="4:6" ht="13.2" x14ac:dyDescent="0.25">
      <c r="D771" s="25"/>
      <c r="E771" s="25"/>
      <c r="F771" s="28"/>
    </row>
    <row r="772" spans="4:6" ht="13.2" x14ac:dyDescent="0.25">
      <c r="D772" s="25"/>
      <c r="E772" s="25"/>
      <c r="F772" s="28"/>
    </row>
    <row r="773" spans="4:6" ht="13.2" x14ac:dyDescent="0.25">
      <c r="D773" s="25"/>
      <c r="E773" s="25"/>
      <c r="F773" s="28"/>
    </row>
    <row r="774" spans="4:6" ht="13.2" x14ac:dyDescent="0.25">
      <c r="D774" s="25"/>
      <c r="E774" s="25"/>
      <c r="F774" s="28"/>
    </row>
    <row r="775" spans="4:6" ht="13.2" x14ac:dyDescent="0.25">
      <c r="D775" s="25"/>
      <c r="E775" s="25"/>
      <c r="F775" s="28"/>
    </row>
    <row r="776" spans="4:6" ht="13.2" x14ac:dyDescent="0.25">
      <c r="D776" s="25"/>
      <c r="E776" s="25"/>
      <c r="F776" s="28"/>
    </row>
    <row r="777" spans="4:6" ht="13.2" x14ac:dyDescent="0.25">
      <c r="D777" s="25"/>
      <c r="E777" s="25"/>
      <c r="F777" s="28"/>
    </row>
    <row r="778" spans="4:6" ht="13.2" x14ac:dyDescent="0.25">
      <c r="D778" s="25"/>
      <c r="E778" s="25"/>
      <c r="F778" s="28"/>
    </row>
    <row r="779" spans="4:6" ht="13.2" x14ac:dyDescent="0.25">
      <c r="D779" s="25"/>
      <c r="E779" s="25"/>
      <c r="F779" s="28"/>
    </row>
    <row r="780" spans="4:6" ht="13.2" x14ac:dyDescent="0.25">
      <c r="D780" s="25"/>
      <c r="E780" s="25"/>
      <c r="F780" s="28"/>
    </row>
    <row r="781" spans="4:6" ht="13.2" x14ac:dyDescent="0.25">
      <c r="D781" s="25"/>
      <c r="E781" s="25"/>
      <c r="F781" s="28"/>
    </row>
    <row r="782" spans="4:6" ht="13.2" x14ac:dyDescent="0.25">
      <c r="D782" s="25"/>
      <c r="E782" s="25"/>
      <c r="F782" s="28"/>
    </row>
    <row r="783" spans="4:6" ht="13.2" x14ac:dyDescent="0.25">
      <c r="D783" s="25"/>
      <c r="E783" s="25"/>
      <c r="F783" s="28"/>
    </row>
    <row r="784" spans="4:6" ht="13.2" x14ac:dyDescent="0.25">
      <c r="D784" s="25"/>
      <c r="E784" s="25"/>
      <c r="F784" s="28"/>
    </row>
    <row r="785" spans="4:6" ht="13.2" x14ac:dyDescent="0.25">
      <c r="D785" s="25"/>
      <c r="E785" s="25"/>
      <c r="F785" s="28"/>
    </row>
    <row r="786" spans="4:6" ht="13.2" x14ac:dyDescent="0.25">
      <c r="D786" s="25"/>
      <c r="E786" s="25"/>
      <c r="F786" s="28"/>
    </row>
    <row r="787" spans="4:6" ht="13.2" x14ac:dyDescent="0.25">
      <c r="D787" s="25"/>
      <c r="E787" s="25"/>
      <c r="F787" s="28"/>
    </row>
    <row r="788" spans="4:6" ht="13.2" x14ac:dyDescent="0.25">
      <c r="D788" s="25"/>
      <c r="E788" s="25"/>
      <c r="F788" s="28"/>
    </row>
    <row r="789" spans="4:6" ht="13.2" x14ac:dyDescent="0.25">
      <c r="D789" s="25"/>
      <c r="E789" s="25"/>
      <c r="F789" s="28"/>
    </row>
    <row r="790" spans="4:6" ht="13.2" x14ac:dyDescent="0.25">
      <c r="D790" s="25"/>
      <c r="E790" s="25"/>
      <c r="F790" s="28"/>
    </row>
    <row r="791" spans="4:6" ht="13.2" x14ac:dyDescent="0.25">
      <c r="D791" s="25"/>
      <c r="E791" s="25"/>
      <c r="F791" s="28"/>
    </row>
    <row r="792" spans="4:6" ht="13.2" x14ac:dyDescent="0.25">
      <c r="D792" s="25"/>
      <c r="E792" s="25"/>
      <c r="F792" s="28"/>
    </row>
    <row r="793" spans="4:6" ht="13.2" x14ac:dyDescent="0.25">
      <c r="D793" s="25"/>
      <c r="E793" s="25"/>
      <c r="F793" s="28"/>
    </row>
    <row r="794" spans="4:6" ht="13.2" x14ac:dyDescent="0.25">
      <c r="D794" s="25"/>
      <c r="E794" s="25"/>
      <c r="F794" s="28"/>
    </row>
    <row r="795" spans="4:6" ht="13.2" x14ac:dyDescent="0.25">
      <c r="D795" s="25"/>
      <c r="E795" s="25"/>
      <c r="F795" s="28"/>
    </row>
    <row r="796" spans="4:6" ht="13.2" x14ac:dyDescent="0.25">
      <c r="D796" s="25"/>
      <c r="E796" s="25"/>
      <c r="F796" s="28"/>
    </row>
    <row r="797" spans="4:6" ht="13.2" x14ac:dyDescent="0.25">
      <c r="D797" s="25"/>
      <c r="E797" s="25"/>
      <c r="F797" s="28"/>
    </row>
    <row r="798" spans="4:6" ht="13.2" x14ac:dyDescent="0.25">
      <c r="D798" s="25"/>
      <c r="E798" s="25"/>
      <c r="F798" s="28"/>
    </row>
    <row r="799" spans="4:6" ht="13.2" x14ac:dyDescent="0.25">
      <c r="D799" s="25"/>
      <c r="E799" s="25"/>
      <c r="F799" s="28"/>
    </row>
    <row r="800" spans="4:6" ht="13.2" x14ac:dyDescent="0.25">
      <c r="D800" s="25"/>
      <c r="E800" s="25"/>
      <c r="F800" s="28"/>
    </row>
    <row r="801" spans="4:6" ht="13.2" x14ac:dyDescent="0.25">
      <c r="D801" s="25"/>
      <c r="E801" s="25"/>
      <c r="F801" s="28"/>
    </row>
    <row r="802" spans="4:6" ht="13.2" x14ac:dyDescent="0.25">
      <c r="D802" s="25"/>
      <c r="E802" s="25"/>
      <c r="F802" s="28"/>
    </row>
    <row r="803" spans="4:6" ht="13.2" x14ac:dyDescent="0.25">
      <c r="D803" s="25"/>
      <c r="E803" s="25"/>
      <c r="F803" s="28"/>
    </row>
    <row r="804" spans="4:6" ht="13.2" x14ac:dyDescent="0.25">
      <c r="D804" s="25"/>
      <c r="E804" s="25"/>
      <c r="F804" s="28"/>
    </row>
    <row r="805" spans="4:6" ht="13.2" x14ac:dyDescent="0.25">
      <c r="D805" s="25"/>
      <c r="E805" s="25"/>
      <c r="F805" s="28"/>
    </row>
    <row r="806" spans="4:6" ht="13.2" x14ac:dyDescent="0.25">
      <c r="D806" s="25"/>
      <c r="E806" s="25"/>
      <c r="F806" s="28"/>
    </row>
    <row r="807" spans="4:6" ht="13.2" x14ac:dyDescent="0.25">
      <c r="D807" s="25"/>
      <c r="E807" s="25"/>
      <c r="F807" s="28"/>
    </row>
    <row r="808" spans="4:6" ht="13.2" x14ac:dyDescent="0.25">
      <c r="D808" s="25"/>
      <c r="E808" s="25"/>
      <c r="F808" s="28"/>
    </row>
    <row r="809" spans="4:6" ht="13.2" x14ac:dyDescent="0.25">
      <c r="D809" s="25"/>
      <c r="E809" s="25"/>
      <c r="F809" s="28"/>
    </row>
    <row r="810" spans="4:6" ht="13.2" x14ac:dyDescent="0.25">
      <c r="D810" s="25"/>
      <c r="E810" s="25"/>
      <c r="F810" s="28"/>
    </row>
    <row r="811" spans="4:6" ht="13.2" x14ac:dyDescent="0.25">
      <c r="D811" s="25"/>
      <c r="E811" s="25"/>
      <c r="F811" s="28"/>
    </row>
    <row r="812" spans="4:6" ht="13.2" x14ac:dyDescent="0.25">
      <c r="D812" s="25"/>
      <c r="E812" s="25"/>
      <c r="F812" s="28"/>
    </row>
    <row r="813" spans="4:6" ht="13.2" x14ac:dyDescent="0.25">
      <c r="D813" s="25"/>
      <c r="E813" s="25"/>
      <c r="F813" s="28"/>
    </row>
    <row r="814" spans="4:6" ht="13.2" x14ac:dyDescent="0.25">
      <c r="D814" s="25"/>
      <c r="E814" s="25"/>
      <c r="F814" s="28"/>
    </row>
    <row r="815" spans="4:6" ht="13.2" x14ac:dyDescent="0.25">
      <c r="D815" s="25"/>
      <c r="E815" s="25"/>
      <c r="F815" s="28"/>
    </row>
    <row r="816" spans="4:6" ht="13.2" x14ac:dyDescent="0.25">
      <c r="D816" s="25"/>
      <c r="E816" s="25"/>
      <c r="F816" s="28"/>
    </row>
    <row r="817" spans="4:6" ht="13.2" x14ac:dyDescent="0.25">
      <c r="D817" s="25"/>
      <c r="E817" s="25"/>
      <c r="F817" s="28"/>
    </row>
    <row r="818" spans="4:6" ht="13.2" x14ac:dyDescent="0.25">
      <c r="D818" s="25"/>
      <c r="E818" s="25"/>
      <c r="F818" s="28"/>
    </row>
    <row r="819" spans="4:6" ht="13.2" x14ac:dyDescent="0.25">
      <c r="D819" s="25"/>
      <c r="E819" s="25"/>
      <c r="F819" s="28"/>
    </row>
    <row r="820" spans="4:6" ht="13.2" x14ac:dyDescent="0.25">
      <c r="D820" s="25"/>
      <c r="E820" s="25"/>
      <c r="F820" s="28"/>
    </row>
    <row r="821" spans="4:6" ht="13.2" x14ac:dyDescent="0.25">
      <c r="D821" s="25"/>
      <c r="E821" s="25"/>
      <c r="F821" s="28"/>
    </row>
    <row r="822" spans="4:6" ht="13.2" x14ac:dyDescent="0.25">
      <c r="D822" s="25"/>
      <c r="E822" s="25"/>
      <c r="F822" s="28"/>
    </row>
    <row r="823" spans="4:6" ht="13.2" x14ac:dyDescent="0.25">
      <c r="D823" s="25"/>
      <c r="E823" s="25"/>
      <c r="F823" s="28"/>
    </row>
    <row r="824" spans="4:6" ht="13.2" x14ac:dyDescent="0.25">
      <c r="D824" s="25"/>
      <c r="E824" s="25"/>
      <c r="F824" s="28"/>
    </row>
    <row r="825" spans="4:6" ht="13.2" x14ac:dyDescent="0.25">
      <c r="D825" s="25"/>
      <c r="E825" s="25"/>
      <c r="F825" s="28"/>
    </row>
    <row r="826" spans="4:6" ht="13.2" x14ac:dyDescent="0.25">
      <c r="D826" s="25"/>
      <c r="E826" s="25"/>
      <c r="F826" s="28"/>
    </row>
    <row r="827" spans="4:6" ht="13.2" x14ac:dyDescent="0.25">
      <c r="D827" s="25"/>
      <c r="E827" s="25"/>
      <c r="F827" s="28"/>
    </row>
    <row r="828" spans="4:6" ht="13.2" x14ac:dyDescent="0.25">
      <c r="D828" s="25"/>
      <c r="E828" s="25"/>
      <c r="F828" s="28"/>
    </row>
    <row r="829" spans="4:6" ht="13.2" x14ac:dyDescent="0.25">
      <c r="D829" s="25"/>
      <c r="E829" s="25"/>
      <c r="F829" s="28"/>
    </row>
    <row r="830" spans="4:6" ht="13.2" x14ac:dyDescent="0.25">
      <c r="D830" s="25"/>
      <c r="E830" s="25"/>
      <c r="F830" s="28"/>
    </row>
    <row r="831" spans="4:6" ht="13.2" x14ac:dyDescent="0.25">
      <c r="D831" s="25"/>
      <c r="E831" s="25"/>
      <c r="F831" s="28"/>
    </row>
    <row r="832" spans="4:6" ht="13.2" x14ac:dyDescent="0.25">
      <c r="D832" s="25"/>
      <c r="E832" s="25"/>
      <c r="F832" s="28"/>
    </row>
    <row r="833" spans="4:6" ht="13.2" x14ac:dyDescent="0.25">
      <c r="D833" s="25"/>
      <c r="E833" s="25"/>
      <c r="F833" s="28"/>
    </row>
    <row r="834" spans="4:6" ht="13.2" x14ac:dyDescent="0.25">
      <c r="D834" s="25"/>
      <c r="E834" s="25"/>
      <c r="F834" s="28"/>
    </row>
    <row r="835" spans="4:6" ht="13.2" x14ac:dyDescent="0.25">
      <c r="D835" s="25"/>
      <c r="E835" s="25"/>
      <c r="F835" s="28"/>
    </row>
    <row r="836" spans="4:6" ht="13.2" x14ac:dyDescent="0.25">
      <c r="D836" s="25"/>
      <c r="E836" s="25"/>
      <c r="F836" s="28"/>
    </row>
    <row r="837" spans="4:6" ht="13.2" x14ac:dyDescent="0.25">
      <c r="D837" s="25"/>
      <c r="E837" s="25"/>
      <c r="F837" s="28"/>
    </row>
    <row r="838" spans="4:6" ht="13.2" x14ac:dyDescent="0.25">
      <c r="D838" s="25"/>
      <c r="E838" s="25"/>
      <c r="F838" s="28"/>
    </row>
    <row r="839" spans="4:6" ht="13.2" x14ac:dyDescent="0.25">
      <c r="D839" s="25"/>
      <c r="E839" s="25"/>
      <c r="F839" s="28"/>
    </row>
    <row r="840" spans="4:6" ht="13.2" x14ac:dyDescent="0.25">
      <c r="D840" s="25"/>
      <c r="E840" s="25"/>
      <c r="F840" s="28"/>
    </row>
    <row r="841" spans="4:6" ht="13.2" x14ac:dyDescent="0.25">
      <c r="D841" s="25"/>
      <c r="E841" s="25"/>
      <c r="F841" s="28"/>
    </row>
    <row r="842" spans="4:6" ht="13.2" x14ac:dyDescent="0.25">
      <c r="D842" s="25"/>
      <c r="E842" s="25"/>
      <c r="F842" s="28"/>
    </row>
    <row r="843" spans="4:6" ht="13.2" x14ac:dyDescent="0.25">
      <c r="D843" s="25"/>
      <c r="E843" s="25"/>
      <c r="F843" s="28"/>
    </row>
    <row r="844" spans="4:6" ht="13.2" x14ac:dyDescent="0.25">
      <c r="D844" s="25"/>
      <c r="E844" s="25"/>
      <c r="F844" s="28"/>
    </row>
    <row r="845" spans="4:6" ht="13.2" x14ac:dyDescent="0.25">
      <c r="D845" s="25"/>
      <c r="E845" s="25"/>
      <c r="F845" s="28"/>
    </row>
    <row r="846" spans="4:6" ht="13.2" x14ac:dyDescent="0.25">
      <c r="D846" s="25"/>
      <c r="E846" s="25"/>
      <c r="F846" s="28"/>
    </row>
    <row r="847" spans="4:6" ht="13.2" x14ac:dyDescent="0.25">
      <c r="D847" s="25"/>
      <c r="E847" s="25"/>
      <c r="F847" s="28"/>
    </row>
    <row r="848" spans="4:6" ht="13.2" x14ac:dyDescent="0.25">
      <c r="D848" s="25"/>
      <c r="E848" s="25"/>
      <c r="F848" s="28"/>
    </row>
    <row r="849" spans="4:6" ht="13.2" x14ac:dyDescent="0.25">
      <c r="D849" s="25"/>
      <c r="E849" s="25"/>
      <c r="F849" s="28"/>
    </row>
    <row r="850" spans="4:6" ht="13.2" x14ac:dyDescent="0.25">
      <c r="D850" s="25"/>
      <c r="E850" s="25"/>
      <c r="F850" s="28"/>
    </row>
    <row r="851" spans="4:6" ht="13.2" x14ac:dyDescent="0.25">
      <c r="D851" s="25"/>
      <c r="E851" s="25"/>
      <c r="F851" s="28"/>
    </row>
    <row r="852" spans="4:6" ht="13.2" x14ac:dyDescent="0.25">
      <c r="D852" s="25"/>
      <c r="E852" s="25"/>
      <c r="F852" s="28"/>
    </row>
    <row r="853" spans="4:6" ht="13.2" x14ac:dyDescent="0.25">
      <c r="D853" s="25"/>
      <c r="E853" s="25"/>
      <c r="F853" s="28"/>
    </row>
    <row r="854" spans="4:6" ht="13.2" x14ac:dyDescent="0.25">
      <c r="D854" s="25"/>
      <c r="E854" s="25"/>
      <c r="F854" s="28"/>
    </row>
    <row r="855" spans="4:6" ht="13.2" x14ac:dyDescent="0.25">
      <c r="D855" s="25"/>
      <c r="E855" s="25"/>
      <c r="F855" s="28"/>
    </row>
    <row r="856" spans="4:6" ht="13.2" x14ac:dyDescent="0.25">
      <c r="D856" s="25"/>
      <c r="E856" s="25"/>
      <c r="F856" s="28"/>
    </row>
    <row r="857" spans="4:6" ht="13.2" x14ac:dyDescent="0.25">
      <c r="D857" s="25"/>
      <c r="E857" s="25"/>
      <c r="F857" s="28"/>
    </row>
    <row r="858" spans="4:6" ht="13.2" x14ac:dyDescent="0.25">
      <c r="D858" s="25"/>
      <c r="E858" s="25"/>
      <c r="F858" s="28"/>
    </row>
    <row r="859" spans="4:6" ht="13.2" x14ac:dyDescent="0.25">
      <c r="D859" s="25"/>
      <c r="E859" s="25"/>
      <c r="F859" s="28"/>
    </row>
    <row r="860" spans="4:6" ht="13.2" x14ac:dyDescent="0.25">
      <c r="D860" s="25"/>
      <c r="E860" s="25"/>
      <c r="F860" s="28"/>
    </row>
    <row r="861" spans="4:6" ht="13.2" x14ac:dyDescent="0.25">
      <c r="D861" s="25"/>
      <c r="E861" s="25"/>
      <c r="F861" s="28"/>
    </row>
    <row r="862" spans="4:6" ht="13.2" x14ac:dyDescent="0.25">
      <c r="D862" s="25"/>
      <c r="E862" s="25"/>
      <c r="F862" s="28"/>
    </row>
    <row r="863" spans="4:6" ht="13.2" x14ac:dyDescent="0.25">
      <c r="D863" s="25"/>
      <c r="E863" s="25"/>
      <c r="F863" s="28"/>
    </row>
    <row r="864" spans="4:6" ht="13.2" x14ac:dyDescent="0.25">
      <c r="D864" s="25"/>
      <c r="E864" s="25"/>
      <c r="F864" s="28"/>
    </row>
    <row r="865" spans="4:6" ht="13.2" x14ac:dyDescent="0.25">
      <c r="D865" s="25"/>
      <c r="E865" s="25"/>
      <c r="F865" s="28"/>
    </row>
    <row r="866" spans="4:6" ht="13.2" x14ac:dyDescent="0.25">
      <c r="D866" s="25"/>
      <c r="E866" s="25"/>
      <c r="F866" s="28"/>
    </row>
    <row r="867" spans="4:6" ht="13.2" x14ac:dyDescent="0.25">
      <c r="D867" s="25"/>
      <c r="E867" s="25"/>
      <c r="F867" s="28"/>
    </row>
    <row r="868" spans="4:6" ht="13.2" x14ac:dyDescent="0.25">
      <c r="D868" s="25"/>
      <c r="E868" s="25"/>
      <c r="F868" s="28"/>
    </row>
    <row r="869" spans="4:6" ht="13.2" x14ac:dyDescent="0.25">
      <c r="D869" s="25"/>
      <c r="E869" s="25"/>
      <c r="F869" s="28"/>
    </row>
    <row r="870" spans="4:6" ht="13.2" x14ac:dyDescent="0.25">
      <c r="D870" s="25"/>
      <c r="E870" s="25"/>
      <c r="F870" s="28"/>
    </row>
    <row r="871" spans="4:6" ht="13.2" x14ac:dyDescent="0.25">
      <c r="D871" s="25"/>
      <c r="E871" s="25"/>
      <c r="F871" s="28"/>
    </row>
    <row r="872" spans="4:6" ht="13.2" x14ac:dyDescent="0.25">
      <c r="D872" s="25"/>
      <c r="E872" s="25"/>
      <c r="F872" s="28"/>
    </row>
    <row r="873" spans="4:6" ht="13.2" x14ac:dyDescent="0.25">
      <c r="D873" s="25"/>
      <c r="E873" s="25"/>
      <c r="F873" s="28"/>
    </row>
    <row r="874" spans="4:6" ht="13.2" x14ac:dyDescent="0.25">
      <c r="D874" s="25"/>
      <c r="E874" s="25"/>
      <c r="F874" s="28"/>
    </row>
    <row r="875" spans="4:6" ht="13.2" x14ac:dyDescent="0.25">
      <c r="D875" s="25"/>
      <c r="E875" s="25"/>
      <c r="F875" s="28"/>
    </row>
    <row r="876" spans="4:6" ht="13.2" x14ac:dyDescent="0.25">
      <c r="D876" s="25"/>
      <c r="E876" s="25"/>
      <c r="F876" s="28"/>
    </row>
    <row r="877" spans="4:6" ht="13.2" x14ac:dyDescent="0.25">
      <c r="D877" s="25"/>
      <c r="E877" s="25"/>
      <c r="F877" s="28"/>
    </row>
    <row r="878" spans="4:6" ht="13.2" x14ac:dyDescent="0.25">
      <c r="D878" s="25"/>
      <c r="E878" s="25"/>
      <c r="F878" s="28"/>
    </row>
    <row r="879" spans="4:6" ht="13.2" x14ac:dyDescent="0.25">
      <c r="D879" s="25"/>
      <c r="E879" s="25"/>
      <c r="F879" s="28"/>
    </row>
    <row r="880" spans="4:6" ht="13.2" x14ac:dyDescent="0.25">
      <c r="D880" s="25"/>
      <c r="E880" s="25"/>
      <c r="F880" s="28"/>
    </row>
    <row r="881" spans="4:6" ht="13.2" x14ac:dyDescent="0.25">
      <c r="D881" s="25"/>
      <c r="E881" s="25"/>
      <c r="F881" s="28"/>
    </row>
    <row r="882" spans="4:6" ht="13.2" x14ac:dyDescent="0.25">
      <c r="D882" s="25"/>
      <c r="E882" s="25"/>
      <c r="F882" s="28"/>
    </row>
    <row r="883" spans="4:6" ht="13.2" x14ac:dyDescent="0.25">
      <c r="D883" s="25"/>
      <c r="E883" s="25"/>
      <c r="F883" s="28"/>
    </row>
    <row r="884" spans="4:6" ht="13.2" x14ac:dyDescent="0.25">
      <c r="D884" s="25"/>
      <c r="E884" s="25"/>
      <c r="F884" s="28"/>
    </row>
    <row r="885" spans="4:6" ht="13.2" x14ac:dyDescent="0.25">
      <c r="D885" s="25"/>
      <c r="E885" s="25"/>
      <c r="F885" s="28"/>
    </row>
    <row r="886" spans="4:6" ht="13.2" x14ac:dyDescent="0.25">
      <c r="D886" s="25"/>
      <c r="E886" s="25"/>
      <c r="F886" s="28"/>
    </row>
    <row r="887" spans="4:6" ht="13.2" x14ac:dyDescent="0.25">
      <c r="D887" s="25"/>
      <c r="E887" s="25"/>
      <c r="F887" s="28"/>
    </row>
    <row r="888" spans="4:6" ht="13.2" x14ac:dyDescent="0.25">
      <c r="D888" s="25"/>
      <c r="E888" s="25"/>
      <c r="F888" s="28"/>
    </row>
    <row r="889" spans="4:6" ht="13.2" x14ac:dyDescent="0.25">
      <c r="D889" s="25"/>
      <c r="E889" s="25"/>
      <c r="F889" s="28"/>
    </row>
    <row r="890" spans="4:6" ht="13.2" x14ac:dyDescent="0.25">
      <c r="D890" s="25"/>
      <c r="E890" s="25"/>
      <c r="F890" s="28"/>
    </row>
    <row r="891" spans="4:6" ht="13.2" x14ac:dyDescent="0.25">
      <c r="D891" s="25"/>
      <c r="E891" s="25"/>
      <c r="F891" s="28"/>
    </row>
    <row r="892" spans="4:6" ht="13.2" x14ac:dyDescent="0.25">
      <c r="D892" s="25"/>
      <c r="E892" s="25"/>
      <c r="F892" s="28"/>
    </row>
    <row r="893" spans="4:6" ht="13.2" x14ac:dyDescent="0.25">
      <c r="D893" s="25"/>
      <c r="E893" s="25"/>
      <c r="F893" s="28"/>
    </row>
    <row r="894" spans="4:6" ht="13.2" x14ac:dyDescent="0.25">
      <c r="D894" s="25"/>
      <c r="E894" s="25"/>
      <c r="F894" s="28"/>
    </row>
    <row r="895" spans="4:6" ht="13.2" x14ac:dyDescent="0.25">
      <c r="D895" s="25"/>
      <c r="E895" s="25"/>
      <c r="F895" s="28"/>
    </row>
    <row r="896" spans="4:6" ht="13.2" x14ac:dyDescent="0.25">
      <c r="D896" s="25"/>
      <c r="E896" s="25"/>
      <c r="F896" s="28"/>
    </row>
    <row r="897" spans="4:6" ht="13.2" x14ac:dyDescent="0.25">
      <c r="D897" s="25"/>
      <c r="E897" s="25"/>
      <c r="F897" s="28"/>
    </row>
    <row r="898" spans="4:6" ht="13.2" x14ac:dyDescent="0.25">
      <c r="D898" s="25"/>
      <c r="E898" s="25"/>
      <c r="F898" s="28"/>
    </row>
    <row r="899" spans="4:6" ht="13.2" x14ac:dyDescent="0.25">
      <c r="D899" s="25"/>
      <c r="E899" s="25"/>
      <c r="F899" s="28"/>
    </row>
    <row r="900" spans="4:6" ht="13.2" x14ac:dyDescent="0.25">
      <c r="D900" s="25"/>
      <c r="E900" s="25"/>
      <c r="F900" s="28"/>
    </row>
    <row r="901" spans="4:6" ht="13.2" x14ac:dyDescent="0.25">
      <c r="D901" s="25"/>
      <c r="E901" s="25"/>
      <c r="F901" s="28"/>
    </row>
    <row r="902" spans="4:6" ht="13.2" x14ac:dyDescent="0.25">
      <c r="D902" s="25"/>
      <c r="E902" s="25"/>
      <c r="F902" s="28"/>
    </row>
    <row r="903" spans="4:6" ht="13.2" x14ac:dyDescent="0.25">
      <c r="D903" s="25"/>
      <c r="E903" s="25"/>
      <c r="F903" s="28"/>
    </row>
    <row r="904" spans="4:6" ht="13.2" x14ac:dyDescent="0.25">
      <c r="D904" s="25"/>
      <c r="E904" s="25"/>
      <c r="F904" s="28"/>
    </row>
    <row r="905" spans="4:6" ht="13.2" x14ac:dyDescent="0.25">
      <c r="D905" s="25"/>
      <c r="E905" s="25"/>
      <c r="F905" s="28"/>
    </row>
    <row r="906" spans="4:6" ht="13.2" x14ac:dyDescent="0.25">
      <c r="D906" s="25"/>
      <c r="E906" s="25"/>
      <c r="F906" s="28"/>
    </row>
    <row r="907" spans="4:6" ht="13.2" x14ac:dyDescent="0.25">
      <c r="D907" s="25"/>
      <c r="E907" s="25"/>
      <c r="F907" s="28"/>
    </row>
    <row r="908" spans="4:6" ht="13.2" x14ac:dyDescent="0.25">
      <c r="D908" s="25"/>
      <c r="E908" s="25"/>
      <c r="F908" s="28"/>
    </row>
    <row r="909" spans="4:6" ht="13.2" x14ac:dyDescent="0.25">
      <c r="D909" s="25"/>
      <c r="E909" s="25"/>
      <c r="F909" s="28"/>
    </row>
    <row r="910" spans="4:6" ht="13.2" x14ac:dyDescent="0.25">
      <c r="D910" s="25"/>
      <c r="E910" s="25"/>
      <c r="F910" s="28"/>
    </row>
    <row r="911" spans="4:6" ht="13.2" x14ac:dyDescent="0.25">
      <c r="D911" s="25"/>
      <c r="E911" s="25"/>
      <c r="F911" s="28"/>
    </row>
    <row r="912" spans="4:6" ht="13.2" x14ac:dyDescent="0.25">
      <c r="D912" s="25"/>
      <c r="E912" s="25"/>
      <c r="F912" s="28"/>
    </row>
    <row r="913" spans="4:6" ht="13.2" x14ac:dyDescent="0.25">
      <c r="D913" s="25"/>
      <c r="E913" s="25"/>
      <c r="F913" s="28"/>
    </row>
    <row r="914" spans="4:6" ht="13.2" x14ac:dyDescent="0.25">
      <c r="D914" s="25"/>
      <c r="E914" s="25"/>
      <c r="F914" s="28"/>
    </row>
    <row r="915" spans="4:6" ht="13.2" x14ac:dyDescent="0.25">
      <c r="D915" s="25"/>
      <c r="E915" s="25"/>
      <c r="F915" s="28"/>
    </row>
    <row r="916" spans="4:6" ht="13.2" x14ac:dyDescent="0.25">
      <c r="D916" s="25"/>
      <c r="E916" s="25"/>
      <c r="F916" s="28"/>
    </row>
    <row r="917" spans="4:6" ht="13.2" x14ac:dyDescent="0.25">
      <c r="D917" s="25"/>
      <c r="E917" s="25"/>
      <c r="F917" s="28"/>
    </row>
    <row r="918" spans="4:6" ht="13.2" x14ac:dyDescent="0.25">
      <c r="D918" s="25"/>
      <c r="E918" s="25"/>
      <c r="F918" s="28"/>
    </row>
    <row r="919" spans="4:6" ht="13.2" x14ac:dyDescent="0.25">
      <c r="D919" s="25"/>
      <c r="E919" s="25"/>
      <c r="F919" s="28"/>
    </row>
    <row r="920" spans="4:6" ht="13.2" x14ac:dyDescent="0.25">
      <c r="D920" s="25"/>
      <c r="E920" s="25"/>
      <c r="F920" s="28"/>
    </row>
    <row r="921" spans="4:6" ht="13.2" x14ac:dyDescent="0.25">
      <c r="D921" s="25"/>
      <c r="E921" s="25"/>
      <c r="F921" s="28"/>
    </row>
    <row r="922" spans="4:6" ht="13.2" x14ac:dyDescent="0.25">
      <c r="D922" s="25"/>
      <c r="E922" s="25"/>
      <c r="F922" s="28"/>
    </row>
    <row r="923" spans="4:6" ht="13.2" x14ac:dyDescent="0.25">
      <c r="D923" s="25"/>
      <c r="E923" s="25"/>
      <c r="F923" s="28"/>
    </row>
    <row r="924" spans="4:6" ht="13.2" x14ac:dyDescent="0.25">
      <c r="D924" s="25"/>
      <c r="E924" s="25"/>
      <c r="F924" s="28"/>
    </row>
    <row r="925" spans="4:6" ht="13.2" x14ac:dyDescent="0.25">
      <c r="D925" s="25"/>
      <c r="E925" s="25"/>
      <c r="F925" s="28"/>
    </row>
    <row r="926" spans="4:6" ht="13.2" x14ac:dyDescent="0.25">
      <c r="D926" s="25"/>
      <c r="E926" s="25"/>
      <c r="F926" s="28"/>
    </row>
    <row r="927" spans="4:6" ht="13.2" x14ac:dyDescent="0.25">
      <c r="D927" s="25"/>
      <c r="E927" s="25"/>
      <c r="F927" s="28"/>
    </row>
    <row r="928" spans="4:6" ht="13.2" x14ac:dyDescent="0.25">
      <c r="D928" s="25"/>
      <c r="E928" s="25"/>
      <c r="F928" s="28"/>
    </row>
    <row r="929" spans="4:6" ht="13.2" x14ac:dyDescent="0.25">
      <c r="D929" s="25"/>
      <c r="E929" s="25"/>
      <c r="F929" s="28"/>
    </row>
    <row r="930" spans="4:6" ht="13.2" x14ac:dyDescent="0.25">
      <c r="D930" s="25"/>
      <c r="E930" s="25"/>
      <c r="F930" s="28"/>
    </row>
    <row r="931" spans="4:6" ht="13.2" x14ac:dyDescent="0.25">
      <c r="D931" s="25"/>
      <c r="E931" s="25"/>
      <c r="F931" s="28"/>
    </row>
    <row r="932" spans="4:6" ht="13.2" x14ac:dyDescent="0.25">
      <c r="D932" s="25"/>
      <c r="E932" s="25"/>
      <c r="F932" s="28"/>
    </row>
    <row r="933" spans="4:6" ht="13.2" x14ac:dyDescent="0.25">
      <c r="D933" s="25"/>
      <c r="E933" s="25"/>
      <c r="F933" s="28"/>
    </row>
    <row r="934" spans="4:6" ht="13.2" x14ac:dyDescent="0.25">
      <c r="D934" s="25"/>
      <c r="E934" s="25"/>
      <c r="F934" s="28"/>
    </row>
    <row r="935" spans="4:6" ht="13.2" x14ac:dyDescent="0.25">
      <c r="D935" s="25"/>
      <c r="E935" s="25"/>
      <c r="F935" s="28"/>
    </row>
    <row r="936" spans="4:6" ht="13.2" x14ac:dyDescent="0.25">
      <c r="D936" s="25"/>
      <c r="E936" s="25"/>
      <c r="F936" s="28"/>
    </row>
    <row r="937" spans="4:6" ht="13.2" x14ac:dyDescent="0.25">
      <c r="D937" s="25"/>
      <c r="E937" s="25"/>
      <c r="F937" s="28"/>
    </row>
    <row r="938" spans="4:6" ht="13.2" x14ac:dyDescent="0.25">
      <c r="D938" s="25"/>
      <c r="E938" s="25"/>
      <c r="F938" s="28"/>
    </row>
    <row r="939" spans="4:6" ht="13.2" x14ac:dyDescent="0.25">
      <c r="D939" s="25"/>
      <c r="E939" s="25"/>
      <c r="F939" s="28"/>
    </row>
    <row r="940" spans="4:6" ht="13.2" x14ac:dyDescent="0.25">
      <c r="D940" s="25"/>
      <c r="E940" s="25"/>
      <c r="F940" s="28"/>
    </row>
    <row r="941" spans="4:6" ht="13.2" x14ac:dyDescent="0.25">
      <c r="D941" s="25"/>
      <c r="E941" s="25"/>
      <c r="F941" s="28"/>
    </row>
    <row r="942" spans="4:6" ht="13.2" x14ac:dyDescent="0.25">
      <c r="D942" s="25"/>
      <c r="E942" s="25"/>
      <c r="F942" s="28"/>
    </row>
    <row r="943" spans="4:6" ht="13.2" x14ac:dyDescent="0.25">
      <c r="D943" s="25"/>
      <c r="E943" s="25"/>
      <c r="F943" s="28"/>
    </row>
    <row r="944" spans="4:6" ht="13.2" x14ac:dyDescent="0.25">
      <c r="D944" s="25"/>
      <c r="E944" s="25"/>
      <c r="F944" s="28"/>
    </row>
    <row r="945" spans="4:6" ht="13.2" x14ac:dyDescent="0.25">
      <c r="D945" s="25"/>
      <c r="E945" s="25"/>
      <c r="F945" s="28"/>
    </row>
    <row r="946" spans="4:6" ht="13.2" x14ac:dyDescent="0.25">
      <c r="D946" s="25"/>
      <c r="E946" s="25"/>
      <c r="F946" s="28"/>
    </row>
    <row r="947" spans="4:6" ht="13.2" x14ac:dyDescent="0.25">
      <c r="D947" s="25"/>
      <c r="E947" s="25"/>
      <c r="F947" s="28"/>
    </row>
    <row r="948" spans="4:6" ht="13.2" x14ac:dyDescent="0.25">
      <c r="D948" s="25"/>
      <c r="E948" s="25"/>
      <c r="F948" s="28"/>
    </row>
    <row r="949" spans="4:6" ht="13.2" x14ac:dyDescent="0.25">
      <c r="D949" s="25"/>
      <c r="E949" s="25"/>
      <c r="F949" s="28"/>
    </row>
    <row r="950" spans="4:6" ht="13.2" x14ac:dyDescent="0.25">
      <c r="D950" s="25"/>
      <c r="E950" s="25"/>
      <c r="F950" s="28"/>
    </row>
    <row r="951" spans="4:6" ht="13.2" x14ac:dyDescent="0.25">
      <c r="D951" s="25"/>
      <c r="E951" s="25"/>
      <c r="F951" s="28"/>
    </row>
    <row r="952" spans="4:6" ht="13.2" x14ac:dyDescent="0.25">
      <c r="D952" s="25"/>
      <c r="E952" s="25"/>
      <c r="F952" s="28"/>
    </row>
    <row r="953" spans="4:6" ht="13.2" x14ac:dyDescent="0.25">
      <c r="D953" s="25"/>
      <c r="E953" s="25"/>
      <c r="F953" s="28"/>
    </row>
    <row r="954" spans="4:6" ht="13.2" x14ac:dyDescent="0.25">
      <c r="D954" s="25"/>
      <c r="E954" s="25"/>
      <c r="F954" s="28"/>
    </row>
    <row r="955" spans="4:6" ht="13.2" x14ac:dyDescent="0.25">
      <c r="D955" s="25"/>
      <c r="E955" s="25"/>
      <c r="F955" s="28"/>
    </row>
    <row r="956" spans="4:6" ht="13.2" x14ac:dyDescent="0.25">
      <c r="D956" s="25"/>
      <c r="E956" s="25"/>
      <c r="F956" s="28"/>
    </row>
    <row r="957" spans="4:6" ht="13.2" x14ac:dyDescent="0.25">
      <c r="D957" s="25"/>
      <c r="E957" s="25"/>
      <c r="F957" s="28"/>
    </row>
    <row r="958" spans="4:6" ht="13.2" x14ac:dyDescent="0.25">
      <c r="D958" s="25"/>
      <c r="E958" s="25"/>
      <c r="F958" s="28"/>
    </row>
    <row r="959" spans="4:6" ht="13.2" x14ac:dyDescent="0.25">
      <c r="D959" s="25"/>
      <c r="E959" s="25"/>
      <c r="F959" s="28"/>
    </row>
    <row r="960" spans="4:6" ht="13.2" x14ac:dyDescent="0.25">
      <c r="D960" s="25"/>
      <c r="E960" s="25"/>
      <c r="F960" s="28"/>
    </row>
    <row r="961" spans="4:6" ht="13.2" x14ac:dyDescent="0.25">
      <c r="D961" s="25"/>
      <c r="E961" s="25"/>
      <c r="F961" s="28"/>
    </row>
    <row r="962" spans="4:6" ht="13.2" x14ac:dyDescent="0.25">
      <c r="D962" s="25"/>
      <c r="E962" s="25"/>
      <c r="F962" s="28"/>
    </row>
    <row r="963" spans="4:6" ht="13.2" x14ac:dyDescent="0.25">
      <c r="D963" s="25"/>
      <c r="E963" s="25"/>
      <c r="F963" s="28"/>
    </row>
    <row r="964" spans="4:6" ht="13.2" x14ac:dyDescent="0.25">
      <c r="D964" s="25"/>
      <c r="E964" s="25"/>
      <c r="F964" s="28"/>
    </row>
    <row r="965" spans="4:6" ht="13.2" x14ac:dyDescent="0.25">
      <c r="D965" s="25"/>
      <c r="E965" s="25"/>
      <c r="F965" s="28"/>
    </row>
    <row r="966" spans="4:6" ht="13.2" x14ac:dyDescent="0.25">
      <c r="D966" s="25"/>
      <c r="E966" s="25"/>
      <c r="F966" s="28"/>
    </row>
    <row r="967" spans="4:6" ht="13.2" x14ac:dyDescent="0.25">
      <c r="D967" s="25"/>
      <c r="E967" s="25"/>
      <c r="F967" s="28"/>
    </row>
    <row r="968" spans="4:6" ht="13.2" x14ac:dyDescent="0.25">
      <c r="D968" s="25"/>
      <c r="E968" s="25"/>
      <c r="F968" s="28"/>
    </row>
    <row r="969" spans="4:6" ht="13.2" x14ac:dyDescent="0.25">
      <c r="D969" s="25"/>
      <c r="E969" s="25"/>
      <c r="F969" s="28"/>
    </row>
    <row r="970" spans="4:6" ht="13.2" x14ac:dyDescent="0.25">
      <c r="D970" s="25"/>
      <c r="E970" s="25"/>
      <c r="F970" s="28"/>
    </row>
    <row r="971" spans="4:6" ht="13.2" x14ac:dyDescent="0.25">
      <c r="D971" s="25"/>
      <c r="E971" s="25"/>
      <c r="F971" s="28"/>
    </row>
    <row r="972" spans="4:6" ht="13.2" x14ac:dyDescent="0.25">
      <c r="D972" s="25"/>
      <c r="E972" s="25"/>
      <c r="F972" s="28"/>
    </row>
    <row r="973" spans="4:6" ht="13.2" x14ac:dyDescent="0.25">
      <c r="D973" s="25"/>
      <c r="E973" s="25"/>
      <c r="F973" s="28"/>
    </row>
    <row r="974" spans="4:6" ht="13.2" x14ac:dyDescent="0.25">
      <c r="D974" s="25"/>
      <c r="E974" s="25"/>
      <c r="F974" s="28"/>
    </row>
    <row r="975" spans="4:6" ht="13.2" x14ac:dyDescent="0.25">
      <c r="D975" s="25"/>
      <c r="E975" s="25"/>
      <c r="F975" s="28"/>
    </row>
    <row r="976" spans="4:6" ht="13.2" x14ac:dyDescent="0.25">
      <c r="D976" s="25"/>
      <c r="E976" s="25"/>
      <c r="F976" s="28"/>
    </row>
    <row r="977" spans="4:6" ht="13.2" x14ac:dyDescent="0.25">
      <c r="D977" s="25"/>
      <c r="E977" s="25"/>
      <c r="F977" s="28"/>
    </row>
    <row r="978" spans="4:6" ht="13.2" x14ac:dyDescent="0.25">
      <c r="D978" s="25"/>
      <c r="E978" s="25"/>
      <c r="F978" s="28"/>
    </row>
    <row r="979" spans="4:6" ht="13.2" x14ac:dyDescent="0.25">
      <c r="D979" s="25"/>
      <c r="E979" s="25"/>
      <c r="F979" s="28"/>
    </row>
    <row r="980" spans="4:6" ht="13.2" x14ac:dyDescent="0.25">
      <c r="D980" s="25"/>
      <c r="E980" s="25"/>
      <c r="F980" s="28"/>
    </row>
    <row r="981" spans="4:6" ht="13.2" x14ac:dyDescent="0.25">
      <c r="D981" s="25"/>
      <c r="E981" s="25"/>
      <c r="F981" s="28"/>
    </row>
    <row r="982" spans="4:6" ht="13.2" x14ac:dyDescent="0.25">
      <c r="D982" s="25"/>
      <c r="E982" s="25"/>
      <c r="F982" s="28"/>
    </row>
    <row r="983" spans="4:6" ht="13.2" x14ac:dyDescent="0.25">
      <c r="D983" s="25"/>
      <c r="E983" s="25"/>
      <c r="F983" s="28"/>
    </row>
    <row r="984" spans="4:6" ht="13.2" x14ac:dyDescent="0.25">
      <c r="D984" s="25"/>
      <c r="E984" s="25"/>
      <c r="F984" s="28"/>
    </row>
    <row r="985" spans="4:6" ht="13.2" x14ac:dyDescent="0.25">
      <c r="D985" s="25"/>
      <c r="E985" s="25"/>
      <c r="F985" s="28"/>
    </row>
    <row r="986" spans="4:6" ht="13.2" x14ac:dyDescent="0.25">
      <c r="D986" s="25"/>
      <c r="E986" s="25"/>
      <c r="F986" s="28"/>
    </row>
    <row r="987" spans="4:6" ht="13.2" x14ac:dyDescent="0.25">
      <c r="D987" s="25"/>
      <c r="E987" s="25"/>
      <c r="F987" s="28"/>
    </row>
    <row r="988" spans="4:6" ht="13.2" x14ac:dyDescent="0.25">
      <c r="D988" s="25"/>
      <c r="E988" s="25"/>
      <c r="F988" s="28"/>
    </row>
    <row r="989" spans="4:6" ht="13.2" x14ac:dyDescent="0.25">
      <c r="D989" s="25"/>
      <c r="E989" s="25"/>
      <c r="F989" s="28"/>
    </row>
    <row r="990" spans="4:6" ht="13.2" x14ac:dyDescent="0.25">
      <c r="D990" s="25"/>
      <c r="E990" s="25"/>
      <c r="F990" s="28"/>
    </row>
    <row r="991" spans="4:6" ht="13.2" x14ac:dyDescent="0.25">
      <c r="D991" s="25"/>
      <c r="E991" s="25"/>
      <c r="F991" s="28"/>
    </row>
    <row r="992" spans="4:6" ht="13.2" x14ac:dyDescent="0.25">
      <c r="D992" s="25"/>
      <c r="E992" s="25"/>
      <c r="F992" s="28"/>
    </row>
    <row r="993" spans="4:6" ht="13.2" x14ac:dyDescent="0.25">
      <c r="D993" s="25"/>
      <c r="E993" s="25"/>
      <c r="F993" s="28"/>
    </row>
    <row r="994" spans="4:6" ht="13.2" x14ac:dyDescent="0.25">
      <c r="D994" s="25"/>
      <c r="E994" s="25"/>
      <c r="F994" s="28"/>
    </row>
    <row r="995" spans="4:6" ht="13.2" x14ac:dyDescent="0.25">
      <c r="D995" s="25"/>
      <c r="E995" s="25"/>
      <c r="F995" s="28"/>
    </row>
    <row r="996" spans="4:6" ht="13.2" x14ac:dyDescent="0.25">
      <c r="D996" s="25"/>
      <c r="E996" s="25"/>
      <c r="F996" s="28"/>
    </row>
    <row r="997" spans="4:6" ht="13.2" x14ac:dyDescent="0.25">
      <c r="D997" s="25"/>
      <c r="E997" s="25"/>
      <c r="F997" s="28"/>
    </row>
    <row r="998" spans="4:6" ht="13.2" x14ac:dyDescent="0.25">
      <c r="D998" s="25"/>
      <c r="E998" s="25"/>
      <c r="F998" s="28"/>
    </row>
    <row r="999" spans="4:6" ht="13.2" x14ac:dyDescent="0.25">
      <c r="D999" s="25"/>
      <c r="E999" s="25"/>
      <c r="F999" s="28"/>
    </row>
    <row r="1000" spans="4:6" ht="13.2" x14ac:dyDescent="0.25">
      <c r="D1000" s="25"/>
      <c r="E1000" s="25"/>
      <c r="F1000" s="28"/>
    </row>
    <row r="1001" spans="4:6" ht="13.2" x14ac:dyDescent="0.25">
      <c r="D1001" s="25"/>
      <c r="E1001" s="25"/>
      <c r="F1001" s="28"/>
    </row>
    <row r="1002" spans="4:6" ht="13.2" x14ac:dyDescent="0.25">
      <c r="D1002" s="25"/>
      <c r="E1002" s="25"/>
      <c r="F1002" s="28"/>
    </row>
    <row r="1003" spans="4:6" ht="13.2" x14ac:dyDescent="0.25">
      <c r="D1003" s="25"/>
      <c r="E1003" s="25"/>
      <c r="F1003" s="28"/>
    </row>
    <row r="1004" spans="4:6" ht="13.2" x14ac:dyDescent="0.25">
      <c r="D1004" s="25"/>
      <c r="E1004" s="25"/>
      <c r="F1004" s="28"/>
    </row>
    <row r="1005" spans="4:6" ht="13.2" x14ac:dyDescent="0.25">
      <c r="D1005" s="25"/>
      <c r="E1005" s="25"/>
      <c r="F1005" s="28"/>
    </row>
    <row r="1006" spans="4:6" ht="13.2" x14ac:dyDescent="0.25">
      <c r="D1006" s="25"/>
      <c r="E1006" s="25"/>
      <c r="F1006" s="28"/>
    </row>
    <row r="1007" spans="4:6" ht="13.2" x14ac:dyDescent="0.25">
      <c r="D1007" s="25"/>
      <c r="E1007" s="25"/>
      <c r="F1007" s="28"/>
    </row>
    <row r="1008" spans="4:6" ht="13.2" x14ac:dyDescent="0.25">
      <c r="D1008" s="25"/>
      <c r="E1008" s="25"/>
      <c r="F1008" s="28"/>
    </row>
    <row r="1009" spans="4:6" ht="13.2" x14ac:dyDescent="0.25">
      <c r="D1009" s="25"/>
      <c r="E1009" s="25"/>
      <c r="F1009" s="28"/>
    </row>
    <row r="1010" spans="4:6" ht="13.2" x14ac:dyDescent="0.25">
      <c r="D1010" s="25"/>
      <c r="E1010" s="25"/>
      <c r="F1010" s="28"/>
    </row>
    <row r="1011" spans="4:6" ht="13.2" x14ac:dyDescent="0.25">
      <c r="D1011" s="25"/>
      <c r="E1011" s="25"/>
      <c r="F1011" s="28"/>
    </row>
    <row r="1012" spans="4:6" ht="13.2" x14ac:dyDescent="0.25">
      <c r="D1012" s="25"/>
      <c r="E1012" s="25"/>
      <c r="F1012" s="28"/>
    </row>
    <row r="1013" spans="4:6" ht="13.2" x14ac:dyDescent="0.25">
      <c r="D1013" s="25"/>
      <c r="E1013" s="25"/>
      <c r="F1013" s="28"/>
    </row>
    <row r="1014" spans="4:6" ht="13.2" x14ac:dyDescent="0.25">
      <c r="D1014" s="25"/>
      <c r="E1014" s="25"/>
      <c r="F1014" s="28"/>
    </row>
    <row r="1015" spans="4:6" ht="13.2" x14ac:dyDescent="0.25">
      <c r="D1015" s="25"/>
      <c r="E1015" s="25"/>
      <c r="F1015" s="28"/>
    </row>
    <row r="1016" spans="4:6" ht="13.2" x14ac:dyDescent="0.25">
      <c r="D1016" s="25"/>
      <c r="E1016" s="25"/>
      <c r="F1016" s="28"/>
    </row>
    <row r="1017" spans="4:6" ht="13.2" x14ac:dyDescent="0.25">
      <c r="D1017" s="25"/>
      <c r="E1017" s="25"/>
      <c r="F1017" s="28"/>
    </row>
    <row r="1018" spans="4:6" ht="13.2" x14ac:dyDescent="0.25">
      <c r="D1018" s="25"/>
      <c r="E1018" s="25"/>
      <c r="F1018" s="28"/>
    </row>
    <row r="1019" spans="4:6" ht="13.2" x14ac:dyDescent="0.25">
      <c r="D1019" s="25"/>
      <c r="E1019" s="25"/>
      <c r="F1019" s="28"/>
    </row>
    <row r="1020" spans="4:6" ht="13.2" x14ac:dyDescent="0.25">
      <c r="D1020" s="25"/>
      <c r="E1020" s="25"/>
      <c r="F1020" s="28"/>
    </row>
    <row r="1021" spans="4:6" ht="13.2" x14ac:dyDescent="0.25">
      <c r="D1021" s="25"/>
      <c r="E1021" s="25"/>
      <c r="F1021" s="28"/>
    </row>
    <row r="1022" spans="4:6" ht="13.2" x14ac:dyDescent="0.25">
      <c r="D1022" s="25"/>
      <c r="E1022" s="25"/>
      <c r="F1022" s="28"/>
    </row>
    <row r="1023" spans="4:6" ht="13.2" x14ac:dyDescent="0.25">
      <c r="D1023" s="25"/>
      <c r="E1023" s="25"/>
      <c r="F1023" s="28"/>
    </row>
    <row r="1024" spans="4:6" ht="13.2" x14ac:dyDescent="0.25">
      <c r="D1024" s="25"/>
      <c r="E1024" s="25"/>
      <c r="F1024" s="28"/>
    </row>
    <row r="1025" spans="4:6" ht="13.2" x14ac:dyDescent="0.25">
      <c r="D1025" s="25"/>
      <c r="E1025" s="25"/>
      <c r="F1025" s="28"/>
    </row>
  </sheetData>
  <mergeCells count="26">
    <mergeCell ref="B5:B9"/>
    <mergeCell ref="B11:B15"/>
    <mergeCell ref="B17:B21"/>
    <mergeCell ref="B23:B27"/>
    <mergeCell ref="B29:B33"/>
    <mergeCell ref="B35:B39"/>
    <mergeCell ref="B41:B45"/>
    <mergeCell ref="B47:B51"/>
    <mergeCell ref="B53:B57"/>
    <mergeCell ref="B59:B63"/>
    <mergeCell ref="B65:B69"/>
    <mergeCell ref="B71:B75"/>
    <mergeCell ref="B77:B81"/>
    <mergeCell ref="B83:B87"/>
    <mergeCell ref="B131:B135"/>
    <mergeCell ref="B137:B141"/>
    <mergeCell ref="B143:B147"/>
    <mergeCell ref="B149:B153"/>
    <mergeCell ref="B155:B159"/>
    <mergeCell ref="B89:B93"/>
    <mergeCell ref="B95:B99"/>
    <mergeCell ref="B101:B105"/>
    <mergeCell ref="B107:B111"/>
    <mergeCell ref="B113:B117"/>
    <mergeCell ref="B119:B123"/>
    <mergeCell ref="B125:B12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K1025"/>
  <sheetViews>
    <sheetView workbookViewId="0">
      <selection activeCell="B1" sqref="B1:B1048576"/>
    </sheetView>
  </sheetViews>
  <sheetFormatPr defaultColWidth="12.6640625" defaultRowHeight="15.75" customHeight="1" x14ac:dyDescent="0.25"/>
  <cols>
    <col min="1" max="1" width="6" customWidth="1"/>
    <col min="4" max="4" width="26.6640625" customWidth="1"/>
    <col min="5" max="5" width="23.44140625" customWidth="1"/>
    <col min="6" max="6" width="16.33203125" style="37" customWidth="1"/>
  </cols>
  <sheetData>
    <row r="1" spans="1:11" ht="13.2" x14ac:dyDescent="0.25">
      <c r="A1" s="1"/>
      <c r="D1" s="16"/>
      <c r="E1" s="16"/>
      <c r="F1" s="71"/>
    </row>
    <row r="2" spans="1:11" ht="13.2" x14ac:dyDescent="0.25">
      <c r="D2" s="16"/>
      <c r="E2" s="16"/>
      <c r="F2" s="71"/>
    </row>
    <row r="3" spans="1:11" ht="13.8" thickBot="1" x14ac:dyDescent="0.3">
      <c r="D3" s="25"/>
      <c r="E3" s="25"/>
      <c r="F3" s="72"/>
      <c r="H3" s="19" t="s">
        <v>194</v>
      </c>
    </row>
    <row r="4" spans="1:11" ht="33" customHeight="1" thickBot="1" x14ac:dyDescent="0.3">
      <c r="B4" s="42" t="s">
        <v>6</v>
      </c>
      <c r="C4" s="42" t="s">
        <v>7</v>
      </c>
      <c r="D4" s="49" t="s">
        <v>224</v>
      </c>
      <c r="E4" s="50" t="s">
        <v>205</v>
      </c>
      <c r="F4" s="47" t="s">
        <v>225</v>
      </c>
      <c r="H4" s="20">
        <v>14553</v>
      </c>
      <c r="I4" s="11">
        <v>2018</v>
      </c>
      <c r="J4" s="31"/>
      <c r="K4" s="32"/>
    </row>
    <row r="5" spans="1:11" ht="14.4" thickBot="1" x14ac:dyDescent="0.3">
      <c r="B5" s="115" t="s">
        <v>18</v>
      </c>
      <c r="C5" s="43">
        <v>2018</v>
      </c>
      <c r="D5" s="52">
        <f>135839564*14553</f>
        <v>1976873174892</v>
      </c>
      <c r="E5" s="52">
        <f>222796309*14553</f>
        <v>3242354684877</v>
      </c>
      <c r="F5" s="44">
        <f t="shared" ref="F5:F159" si="0">D5/E5</f>
        <v>0.60970293722415303</v>
      </c>
      <c r="H5" s="21">
        <v>13970</v>
      </c>
      <c r="I5" s="5">
        <v>2019</v>
      </c>
      <c r="K5" s="27"/>
    </row>
    <row r="6" spans="1:11" ht="14.4" thickBot="1" x14ac:dyDescent="0.3">
      <c r="B6" s="116"/>
      <c r="C6" s="43">
        <v>2019</v>
      </c>
      <c r="D6" s="52">
        <f>60114845*13970</f>
        <v>839804384650</v>
      </c>
      <c r="E6" s="52">
        <f>216602636*13970</f>
        <v>3025938824920</v>
      </c>
      <c r="F6" s="44">
        <f t="shared" si="0"/>
        <v>0.27753514966456827</v>
      </c>
      <c r="H6" s="21">
        <v>14175</v>
      </c>
      <c r="I6" s="5">
        <v>2020</v>
      </c>
    </row>
    <row r="7" spans="1:11" ht="14.4" thickBot="1" x14ac:dyDescent="0.3">
      <c r="B7" s="116"/>
      <c r="C7" s="43">
        <v>2020</v>
      </c>
      <c r="D7" s="52">
        <f>132348535*14175</f>
        <v>1876040483625</v>
      </c>
      <c r="E7" s="52">
        <f>262691486*14175</f>
        <v>3723651814050</v>
      </c>
      <c r="F7" s="44">
        <f t="shared" si="0"/>
        <v>0.50381737533739479</v>
      </c>
      <c r="H7" s="21">
        <v>14340</v>
      </c>
      <c r="I7" s="5">
        <v>2021</v>
      </c>
    </row>
    <row r="8" spans="1:11" ht="14.4" thickBot="1" x14ac:dyDescent="0.3">
      <c r="B8" s="116"/>
      <c r="C8" s="43">
        <v>2021</v>
      </c>
      <c r="D8" s="52">
        <f>364559017*14340</f>
        <v>5227776303780</v>
      </c>
      <c r="E8" s="52">
        <f>299699977*14340</f>
        <v>4297697670180</v>
      </c>
      <c r="F8" s="44">
        <f t="shared" si="0"/>
        <v>1.2164132298215025</v>
      </c>
      <c r="H8" s="21">
        <v>15809</v>
      </c>
      <c r="I8" s="5">
        <v>2022</v>
      </c>
    </row>
    <row r="9" spans="1:11" ht="14.4" thickBot="1" x14ac:dyDescent="0.3">
      <c r="B9" s="116"/>
      <c r="C9" s="43">
        <v>2022</v>
      </c>
      <c r="D9" s="52">
        <f>500728534*15809</f>
        <v>7916017394006</v>
      </c>
      <c r="E9" s="52">
        <f>616933951*15809</f>
        <v>9753108831359</v>
      </c>
      <c r="F9" s="44">
        <f t="shared" si="0"/>
        <v>0.81164042469758646</v>
      </c>
    </row>
    <row r="10" spans="1:11" s="38" customFormat="1" ht="14.4" thickBot="1" x14ac:dyDescent="0.3">
      <c r="B10" s="46"/>
      <c r="C10" s="42" t="s">
        <v>219</v>
      </c>
      <c r="D10" s="50">
        <f>SUM(D5:D9)/5</f>
        <v>3567302348190.6001</v>
      </c>
      <c r="E10" s="50">
        <f>SUM(E5:E9)/5</f>
        <v>4808550365077.2002</v>
      </c>
      <c r="F10" s="67">
        <f>SUM(F5:F9)/5</f>
        <v>0.68382182334904107</v>
      </c>
    </row>
    <row r="11" spans="1:11" ht="14.4" thickBot="1" x14ac:dyDescent="0.3">
      <c r="B11" s="115" t="s">
        <v>39</v>
      </c>
      <c r="C11" s="43">
        <v>2018</v>
      </c>
      <c r="D11" s="52">
        <v>-448864030000</v>
      </c>
      <c r="E11" s="52">
        <v>8062727824000</v>
      </c>
      <c r="F11" s="44">
        <f t="shared" si="0"/>
        <v>-5.5671484861969961E-2</v>
      </c>
    </row>
    <row r="12" spans="1:11" ht="14.4" thickBot="1" x14ac:dyDescent="0.3">
      <c r="B12" s="116"/>
      <c r="C12" s="43">
        <v>2019</v>
      </c>
      <c r="D12" s="52">
        <v>687979553000</v>
      </c>
      <c r="E12" s="52">
        <v>8712526231000</v>
      </c>
      <c r="F12" s="44">
        <f t="shared" si="0"/>
        <v>7.8964416836084017E-2</v>
      </c>
    </row>
    <row r="13" spans="1:11" ht="14.4" thickBot="1" x14ac:dyDescent="0.3">
      <c r="B13" s="116"/>
      <c r="C13" s="43">
        <v>2020</v>
      </c>
      <c r="D13" s="52">
        <v>1066972977000</v>
      </c>
      <c r="E13" s="52">
        <v>5102110055000</v>
      </c>
      <c r="F13" s="44">
        <f t="shared" si="0"/>
        <v>0.20912386551802831</v>
      </c>
    </row>
    <row r="14" spans="1:11" ht="14.4" thickBot="1" x14ac:dyDescent="0.3">
      <c r="B14" s="116"/>
      <c r="C14" s="43">
        <v>2021</v>
      </c>
      <c r="D14" s="52">
        <v>2944557443000</v>
      </c>
      <c r="E14" s="52">
        <v>9306841393000</v>
      </c>
      <c r="F14" s="44">
        <f t="shared" si="0"/>
        <v>0.3163863354558405</v>
      </c>
    </row>
    <row r="15" spans="1:11" ht="14.4" thickBot="1" x14ac:dyDescent="0.3">
      <c r="B15" s="116"/>
      <c r="C15" s="43">
        <v>2022</v>
      </c>
      <c r="D15" s="52">
        <v>2628813082000</v>
      </c>
      <c r="E15" s="52">
        <v>11280491593000</v>
      </c>
      <c r="F15" s="44">
        <f t="shared" si="0"/>
        <v>0.23304064901136795</v>
      </c>
    </row>
    <row r="16" spans="1:11" s="38" customFormat="1" ht="14.4" thickBot="1" x14ac:dyDescent="0.3">
      <c r="B16" s="46"/>
      <c r="C16" s="42" t="s">
        <v>219</v>
      </c>
      <c r="D16" s="50">
        <f>SUM(D11:D15)/5</f>
        <v>1375891805000</v>
      </c>
      <c r="E16" s="50">
        <f>SUM(E11:E15)/5</f>
        <v>8492939419200</v>
      </c>
      <c r="F16" s="67">
        <f>SUM(F11:F15)/5</f>
        <v>0.15636875639187017</v>
      </c>
    </row>
    <row r="17" spans="2:6" ht="14.4" thickBot="1" x14ac:dyDescent="0.3">
      <c r="B17" s="115" t="s">
        <v>60</v>
      </c>
      <c r="C17" s="43">
        <v>2018</v>
      </c>
      <c r="D17" s="52">
        <f>-109819895*14553</f>
        <v>-1598208931935</v>
      </c>
      <c r="E17" s="52">
        <f>1158996222*14553</f>
        <v>16866872018766</v>
      </c>
      <c r="F17" s="44">
        <f t="shared" si="0"/>
        <v>-9.4754316636590383E-2</v>
      </c>
    </row>
    <row r="18" spans="2:6" ht="14.4" thickBot="1" x14ac:dyDescent="0.3">
      <c r="B18" s="116"/>
      <c r="C18" s="43">
        <v>2019</v>
      </c>
      <c r="D18" s="52">
        <f>-58310165*13970</f>
        <v>-814593005050</v>
      </c>
      <c r="E18" s="52">
        <f>1172847045*13970</f>
        <v>16384673218650</v>
      </c>
      <c r="F18" s="44">
        <f t="shared" si="0"/>
        <v>-4.9716768481093798E-2</v>
      </c>
    </row>
    <row r="19" spans="2:6" ht="14.4" thickBot="1" x14ac:dyDescent="0.3">
      <c r="B19" s="116"/>
      <c r="C19" s="43">
        <v>2020</v>
      </c>
      <c r="D19" s="52">
        <f>-17537506*14175</f>
        <v>-248594147550</v>
      </c>
      <c r="E19" s="52">
        <f>1298664634*14175</f>
        <v>18408571186950</v>
      </c>
      <c r="F19" s="44">
        <f t="shared" si="0"/>
        <v>-1.3504260869862112E-2</v>
      </c>
    </row>
    <row r="20" spans="2:6" ht="14.4" thickBot="1" x14ac:dyDescent="0.3">
      <c r="B20" s="116"/>
      <c r="C20" s="43">
        <v>2021</v>
      </c>
      <c r="D20" s="52">
        <f>-74421710*14340</f>
        <v>-1067207321400</v>
      </c>
      <c r="E20" s="52">
        <f>2877190810*14340</f>
        <v>41258916215400</v>
      </c>
      <c r="F20" s="44">
        <f t="shared" si="0"/>
        <v>-2.5866101664630301E-2</v>
      </c>
    </row>
    <row r="21" spans="2:6" ht="14.4" thickBot="1" x14ac:dyDescent="0.3">
      <c r="B21" s="116"/>
      <c r="C21" s="43">
        <v>2022</v>
      </c>
      <c r="D21" s="52">
        <f>-593650955*15809</f>
        <v>-9385027947595</v>
      </c>
      <c r="E21" s="52">
        <f>922761750*15809</f>
        <v>14587940505750</v>
      </c>
      <c r="F21" s="44">
        <f t="shared" si="0"/>
        <v>-0.64334152883991991</v>
      </c>
    </row>
    <row r="22" spans="2:6" s="38" customFormat="1" ht="14.4" thickBot="1" x14ac:dyDescent="0.3">
      <c r="B22" s="46"/>
      <c r="C22" s="42" t="s">
        <v>219</v>
      </c>
      <c r="D22" s="50">
        <f>SUM(D17:D21)/5</f>
        <v>-2622726270706</v>
      </c>
      <c r="E22" s="50">
        <f>SUM(E17:E21)/5</f>
        <v>21501394629103.199</v>
      </c>
      <c r="F22" s="67">
        <f>SUM(F17:F21)/5</f>
        <v>-0.16543659529841931</v>
      </c>
    </row>
    <row r="23" spans="2:6" ht="14.4" thickBot="1" x14ac:dyDescent="0.3">
      <c r="B23" s="115" t="s">
        <v>81</v>
      </c>
      <c r="C23" s="43">
        <v>2018</v>
      </c>
      <c r="D23" s="56">
        <v>344756000000</v>
      </c>
      <c r="E23" s="56">
        <v>2116898000000</v>
      </c>
      <c r="F23" s="44">
        <f t="shared" si="0"/>
        <v>0.16285905130998282</v>
      </c>
    </row>
    <row r="24" spans="2:6" ht="14.4" thickBot="1" x14ac:dyDescent="0.3">
      <c r="B24" s="116"/>
      <c r="C24" s="43">
        <v>2019</v>
      </c>
      <c r="D24" s="56">
        <v>575797000000</v>
      </c>
      <c r="E24" s="56">
        <v>2504335000000</v>
      </c>
      <c r="F24" s="44">
        <f t="shared" si="0"/>
        <v>0.22992011851449587</v>
      </c>
    </row>
    <row r="25" spans="2:6" ht="14.4" thickBot="1" x14ac:dyDescent="0.3">
      <c r="B25" s="116"/>
      <c r="C25" s="43">
        <v>2020</v>
      </c>
      <c r="D25" s="56">
        <v>928178000000</v>
      </c>
      <c r="E25" s="56">
        <v>2573467000000</v>
      </c>
      <c r="F25" s="44">
        <f t="shared" si="0"/>
        <v>0.36067219824462488</v>
      </c>
    </row>
    <row r="26" spans="2:6" ht="14.4" thickBot="1" x14ac:dyDescent="0.3">
      <c r="B26" s="116"/>
      <c r="C26" s="43">
        <v>2021</v>
      </c>
      <c r="D26" s="56">
        <v>1004197000000</v>
      </c>
      <c r="E26" s="56">
        <v>2561234000000</v>
      </c>
      <c r="F26" s="44">
        <f t="shared" si="0"/>
        <v>0.39207546050068054</v>
      </c>
    </row>
    <row r="27" spans="2:6" ht="14.4" thickBot="1" x14ac:dyDescent="0.3">
      <c r="B27" s="116"/>
      <c r="C27" s="43">
        <v>2022</v>
      </c>
      <c r="D27" s="56">
        <v>1461281000000</v>
      </c>
      <c r="E27" s="56">
        <v>3531761000000</v>
      </c>
      <c r="F27" s="44">
        <f t="shared" si="0"/>
        <v>0.4137542149652822</v>
      </c>
    </row>
    <row r="28" spans="2:6" s="38" customFormat="1" ht="14.4" thickBot="1" x14ac:dyDescent="0.3">
      <c r="B28" s="46"/>
      <c r="C28" s="42" t="s">
        <v>219</v>
      </c>
      <c r="D28" s="50">
        <f>SUM(D23:D27)/5</f>
        <v>862841800000</v>
      </c>
      <c r="E28" s="50">
        <f>SUM(E23:E27)/5</f>
        <v>2657539000000</v>
      </c>
      <c r="F28" s="67">
        <f>SUM(F23:F27)/5</f>
        <v>0.31185620870701325</v>
      </c>
    </row>
    <row r="29" spans="2:6" ht="14.4" thickBot="1" x14ac:dyDescent="0.3">
      <c r="B29" s="115" t="s">
        <v>98</v>
      </c>
      <c r="C29" s="43">
        <v>2018</v>
      </c>
      <c r="D29" s="56">
        <f>75497000*H4</f>
        <v>1098707841000</v>
      </c>
      <c r="E29" s="56">
        <f>147864000*H4</f>
        <v>2151864792000</v>
      </c>
      <c r="F29" s="44">
        <f t="shared" si="0"/>
        <v>0.51058405020829956</v>
      </c>
    </row>
    <row r="30" spans="2:6" ht="14.4" thickBot="1" x14ac:dyDescent="0.3">
      <c r="B30" s="116"/>
      <c r="C30" s="43">
        <v>2019</v>
      </c>
      <c r="D30" s="56">
        <f>92000000*H5</f>
        <v>1285240000000</v>
      </c>
      <c r="E30" s="56">
        <f>146671000*H5</f>
        <v>2048993870000</v>
      </c>
      <c r="F30" s="44">
        <f t="shared" si="0"/>
        <v>0.6272541947624275</v>
      </c>
    </row>
    <row r="31" spans="2:6" ht="14.4" thickBot="1" x14ac:dyDescent="0.3">
      <c r="B31" s="116"/>
      <c r="C31" s="43">
        <v>2020</v>
      </c>
      <c r="D31" s="52">
        <f>107463000*H6</f>
        <v>1523288025000</v>
      </c>
      <c r="E31" s="56">
        <f>135578000*H6</f>
        <v>1921818150000</v>
      </c>
      <c r="F31" s="44">
        <f t="shared" si="0"/>
        <v>0.79262859756007609</v>
      </c>
    </row>
    <row r="32" spans="2:6" ht="14.4" thickBot="1" x14ac:dyDescent="0.3">
      <c r="B32" s="116"/>
      <c r="C32" s="43">
        <v>2021</v>
      </c>
      <c r="D32" s="56">
        <f>118393000*H7</f>
        <v>1697755620000</v>
      </c>
      <c r="E32" s="56">
        <f>167379000*H7</f>
        <v>2400214860000</v>
      </c>
      <c r="F32" s="44">
        <f t="shared" si="0"/>
        <v>0.70733485084747783</v>
      </c>
    </row>
    <row r="33" spans="2:6" ht="14.4" thickBot="1" x14ac:dyDescent="0.3">
      <c r="B33" s="116"/>
      <c r="C33" s="43">
        <v>2022</v>
      </c>
      <c r="D33" s="56">
        <f>119289000*H8</f>
        <v>1885839801000</v>
      </c>
      <c r="E33" s="56">
        <f>221917000*H8</f>
        <v>3508285853000</v>
      </c>
      <c r="F33" s="44">
        <f t="shared" si="0"/>
        <v>0.53753880955492372</v>
      </c>
    </row>
    <row r="34" spans="2:6" s="38" customFormat="1" ht="14.4" thickBot="1" x14ac:dyDescent="0.3">
      <c r="B34" s="46"/>
      <c r="C34" s="42" t="s">
        <v>219</v>
      </c>
      <c r="D34" s="50">
        <f>SUM(D29:D33)/5</f>
        <v>1498166257400</v>
      </c>
      <c r="E34" s="50">
        <f>SUM(E29:E33)/5</f>
        <v>2406235505000</v>
      </c>
      <c r="F34" s="67">
        <f>SUM(F29:F33)/5</f>
        <v>0.63506810058664098</v>
      </c>
    </row>
    <row r="35" spans="2:6" ht="14.4" thickBot="1" x14ac:dyDescent="0.3">
      <c r="B35" s="115" t="s">
        <v>114</v>
      </c>
      <c r="C35" s="43">
        <v>2018</v>
      </c>
      <c r="D35" s="56">
        <f>354895000*H4</f>
        <v>5164786935000</v>
      </c>
      <c r="E35" s="56">
        <f>389897000*H4</f>
        <v>5674171041000</v>
      </c>
      <c r="F35" s="44">
        <f t="shared" si="0"/>
        <v>0.9102275729231053</v>
      </c>
    </row>
    <row r="36" spans="2:6" ht="14.4" thickBot="1" x14ac:dyDescent="0.3">
      <c r="B36" s="116"/>
      <c r="C36" s="43">
        <v>2019</v>
      </c>
      <c r="D36" s="56">
        <f>89456000*H5</f>
        <v>1249700320000</v>
      </c>
      <c r="E36" s="56">
        <f>233288000*H5</f>
        <v>3259033360000</v>
      </c>
      <c r="F36" s="44">
        <f t="shared" si="0"/>
        <v>0.38345735742944342</v>
      </c>
    </row>
    <row r="37" spans="2:6" ht="14.4" thickBot="1" x14ac:dyDescent="0.3">
      <c r="B37" s="116"/>
      <c r="C37" s="43">
        <v>2020</v>
      </c>
      <c r="D37" s="56">
        <f>172743000*H6</f>
        <v>2448632025000</v>
      </c>
      <c r="E37" s="56">
        <f>207300000*H6</f>
        <v>2938477500000</v>
      </c>
      <c r="F37" s="44">
        <f t="shared" si="0"/>
        <v>0.83329956584659914</v>
      </c>
    </row>
    <row r="38" spans="2:6" ht="14.4" thickBot="1" x14ac:dyDescent="0.3">
      <c r="B38" s="116"/>
      <c r="C38" s="43">
        <v>2021</v>
      </c>
      <c r="D38" s="56">
        <f>617717000*H7</f>
        <v>8858061780000</v>
      </c>
      <c r="E38" s="56">
        <f>364743000*H7</f>
        <v>5230414620000</v>
      </c>
      <c r="F38" s="44">
        <f t="shared" si="0"/>
        <v>1.6935677997932792</v>
      </c>
    </row>
    <row r="39" spans="2:6" ht="14.4" thickBot="1" x14ac:dyDescent="0.3">
      <c r="B39" s="116"/>
      <c r="C39" s="43">
        <v>2022</v>
      </c>
      <c r="D39" s="52">
        <f>1325472000*H8</f>
        <v>20954386848000</v>
      </c>
      <c r="E39" s="56">
        <f>585613000*H8</f>
        <v>9257955917000</v>
      </c>
      <c r="F39" s="44">
        <f t="shared" si="0"/>
        <v>2.2633923768768796</v>
      </c>
    </row>
    <row r="40" spans="2:6" s="38" customFormat="1" ht="14.4" thickBot="1" x14ac:dyDescent="0.3">
      <c r="B40" s="46"/>
      <c r="C40" s="42" t="s">
        <v>219</v>
      </c>
      <c r="D40" s="50">
        <f>SUM(D35:D39)/5</f>
        <v>7735113581600</v>
      </c>
      <c r="E40" s="50">
        <f>SUM(E35:E39)/5</f>
        <v>5272010487600</v>
      </c>
      <c r="F40" s="67">
        <f>SUM(F35:F39)/5</f>
        <v>1.2167889345738614</v>
      </c>
    </row>
    <row r="41" spans="2:6" ht="14.4" thickBot="1" x14ac:dyDescent="0.3">
      <c r="B41" s="115" t="s">
        <v>129</v>
      </c>
      <c r="C41" s="43">
        <v>2018</v>
      </c>
      <c r="D41" s="52">
        <f>19052203*H4</f>
        <v>277266710259</v>
      </c>
      <c r="E41" s="56">
        <f>14429786*H4</f>
        <v>209996675658</v>
      </c>
      <c r="F41" s="44">
        <f t="shared" si="0"/>
        <v>1.3203385691236169</v>
      </c>
    </row>
    <row r="42" spans="2:6" ht="14.4" thickBot="1" x14ac:dyDescent="0.3">
      <c r="B42" s="116"/>
      <c r="C42" s="43">
        <v>2019</v>
      </c>
      <c r="D42" s="52">
        <f>24410795*H5</f>
        <v>341018806150</v>
      </c>
      <c r="E42" s="56">
        <f>15622177*H5</f>
        <v>218241812690</v>
      </c>
      <c r="F42" s="44">
        <f t="shared" si="0"/>
        <v>1.5625731932239662</v>
      </c>
    </row>
    <row r="43" spans="2:6" ht="14.4" thickBot="1" x14ac:dyDescent="0.3">
      <c r="B43" s="116"/>
      <c r="C43" s="43">
        <v>2020</v>
      </c>
      <c r="D43" s="52">
        <f>17106175*H6</f>
        <v>242480030625</v>
      </c>
      <c r="E43" s="52">
        <f>25504185*H6</f>
        <v>361521822375</v>
      </c>
      <c r="F43" s="44">
        <f t="shared" si="0"/>
        <v>0.67072031511691121</v>
      </c>
    </row>
    <row r="44" spans="2:6" ht="14.4" thickBot="1" x14ac:dyDescent="0.3">
      <c r="B44" s="116"/>
      <c r="C44" s="43">
        <v>2021</v>
      </c>
      <c r="D44" s="52">
        <f>23663980*H7</f>
        <v>339341473200</v>
      </c>
      <c r="E44" s="52">
        <f>5991075*H7</f>
        <v>85912015500</v>
      </c>
      <c r="F44" s="44">
        <f t="shared" si="0"/>
        <v>3.9498721014175251</v>
      </c>
    </row>
    <row r="45" spans="2:6" ht="14.4" thickBot="1" x14ac:dyDescent="0.3">
      <c r="B45" s="116"/>
      <c r="C45" s="43">
        <v>2022</v>
      </c>
      <c r="D45" s="52">
        <f>46529139*H8</f>
        <v>735579158451</v>
      </c>
      <c r="E45" s="52">
        <f>15863508*H8</f>
        <v>250786197972</v>
      </c>
      <c r="F45" s="44">
        <f t="shared" si="0"/>
        <v>2.933092667775627</v>
      </c>
    </row>
    <row r="46" spans="2:6" s="38" customFormat="1" ht="14.4" thickBot="1" x14ac:dyDescent="0.3">
      <c r="B46" s="46"/>
      <c r="C46" s="42" t="s">
        <v>219</v>
      </c>
      <c r="D46" s="50">
        <f>SUM(D41:D45)/5</f>
        <v>387137235737</v>
      </c>
      <c r="E46" s="50">
        <f>SUM(E41:E45)/5</f>
        <v>225291704839</v>
      </c>
      <c r="F46" s="67">
        <f>SUM(F41:F45)/5</f>
        <v>2.0873193693315293</v>
      </c>
    </row>
    <row r="47" spans="2:6" ht="14.4" thickBot="1" x14ac:dyDescent="0.3">
      <c r="B47" s="115" t="s">
        <v>140</v>
      </c>
      <c r="C47" s="43">
        <v>2018</v>
      </c>
      <c r="D47" s="52">
        <f>361720334*H4</f>
        <v>5264116020702</v>
      </c>
      <c r="E47" s="52">
        <f>1101979278*H4</f>
        <v>16037104432734</v>
      </c>
      <c r="F47" s="44">
        <f t="shared" si="0"/>
        <v>0.32824603984976203</v>
      </c>
    </row>
    <row r="48" spans="2:6" ht="14.4" thickBot="1" x14ac:dyDescent="0.3">
      <c r="B48" s="116"/>
      <c r="C48" s="43">
        <v>2019</v>
      </c>
      <c r="D48" s="52">
        <f>388227067*H5</f>
        <v>5423532125990</v>
      </c>
      <c r="E48" s="52">
        <f>705581042*H5</f>
        <v>9856967156740</v>
      </c>
      <c r="F48" s="44">
        <f t="shared" si="0"/>
        <v>0.55022321163782062</v>
      </c>
    </row>
    <row r="49" spans="2:6" ht="14.4" thickBot="1" x14ac:dyDescent="0.3">
      <c r="B49" s="116"/>
      <c r="C49" s="43">
        <v>2020</v>
      </c>
      <c r="D49" s="52">
        <f>458193436*H6</f>
        <v>6494891955300</v>
      </c>
      <c r="E49" s="52">
        <f>1372820769*H6</f>
        <v>19459734400575</v>
      </c>
      <c r="F49" s="44">
        <f t="shared" si="0"/>
        <v>0.33376056536044435</v>
      </c>
    </row>
    <row r="50" spans="2:6" ht="14.4" thickBot="1" x14ac:dyDescent="0.3">
      <c r="B50" s="116"/>
      <c r="C50" s="43">
        <v>2021</v>
      </c>
      <c r="D50" s="52">
        <f>439675296*H7</f>
        <v>6304943744640</v>
      </c>
      <c r="E50" s="52">
        <f>1006176448*H7</f>
        <v>14428570264320</v>
      </c>
      <c r="F50" s="44">
        <f t="shared" si="0"/>
        <v>0.43697633439338862</v>
      </c>
    </row>
    <row r="51" spans="2:6" ht="14.4" thickBot="1" x14ac:dyDescent="0.3">
      <c r="B51" s="116"/>
      <c r="C51" s="43">
        <v>2022</v>
      </c>
      <c r="D51" s="52">
        <f>1116437808*H8</f>
        <v>17649765306672</v>
      </c>
      <c r="E51" s="52">
        <f>1379314476*H8</f>
        <v>21805582551084</v>
      </c>
      <c r="F51" s="44">
        <f t="shared" si="0"/>
        <v>0.80941498652117383</v>
      </c>
    </row>
    <row r="52" spans="2:6" s="38" customFormat="1" ht="14.4" thickBot="1" x14ac:dyDescent="0.3">
      <c r="B52" s="46"/>
      <c r="C52" s="42" t="s">
        <v>219</v>
      </c>
      <c r="D52" s="50">
        <f>SUM(D47:D51)/5</f>
        <v>8227449830660.7998</v>
      </c>
      <c r="E52" s="50">
        <f>SUM(E47:E51)/5</f>
        <v>16317591761090.6</v>
      </c>
      <c r="F52" s="67">
        <f>SUM(F47:F51)/5</f>
        <v>0.49172422755251788</v>
      </c>
    </row>
    <row r="53" spans="2:6" ht="14.4" thickBot="1" x14ac:dyDescent="0.3">
      <c r="B53" s="115" t="s">
        <v>150</v>
      </c>
      <c r="C53" s="43">
        <v>2018</v>
      </c>
      <c r="D53" s="52">
        <f>918971233*H4</f>
        <v>13373788353849</v>
      </c>
      <c r="E53" s="56">
        <f>1604524366*H4</f>
        <v>23350643098398</v>
      </c>
      <c r="F53" s="44">
        <f t="shared" si="0"/>
        <v>0.57273747440242984</v>
      </c>
    </row>
    <row r="54" spans="2:6" ht="14.4" thickBot="1" x14ac:dyDescent="0.3">
      <c r="B54" s="116"/>
      <c r="C54" s="43">
        <v>2019</v>
      </c>
      <c r="D54" s="52">
        <f>817892001*H5</f>
        <v>11425951253970</v>
      </c>
      <c r="E54" s="52">
        <f>1123361297*H5</f>
        <v>15693357319090</v>
      </c>
      <c r="F54" s="44">
        <f t="shared" si="0"/>
        <v>0.7280756451056547</v>
      </c>
    </row>
    <row r="55" spans="2:6" ht="14.4" thickBot="1" x14ac:dyDescent="0.3">
      <c r="B55" s="116"/>
      <c r="C55" s="43">
        <v>2020</v>
      </c>
      <c r="D55" s="52">
        <f>416874630*H6</f>
        <v>5909197880250</v>
      </c>
      <c r="E55" s="52">
        <f>1183155336*H6</f>
        <v>16771226887800</v>
      </c>
      <c r="F55" s="44">
        <f t="shared" si="0"/>
        <v>0.352341419013809</v>
      </c>
    </row>
    <row r="56" spans="2:6" ht="14.4" thickBot="1" x14ac:dyDescent="0.3">
      <c r="B56" s="116"/>
      <c r="C56" s="43">
        <v>2021</v>
      </c>
      <c r="D56" s="52">
        <f>581705258*H7</f>
        <v>8341653399720</v>
      </c>
      <c r="E56" s="52">
        <f>863911451*H7</f>
        <v>12388490207340</v>
      </c>
      <c r="F56" s="44">
        <f t="shared" si="0"/>
        <v>0.67333898321021324</v>
      </c>
    </row>
    <row r="57" spans="2:6" ht="14.4" thickBot="1" x14ac:dyDescent="0.3">
      <c r="B57" s="116"/>
      <c r="C57" s="43">
        <v>2022</v>
      </c>
      <c r="D57" s="52">
        <f>969699872*H8</f>
        <v>15329985276448</v>
      </c>
      <c r="E57" s="52">
        <f>992569575*H8</f>
        <v>15691532411175</v>
      </c>
      <c r="F57" s="44">
        <f t="shared" si="0"/>
        <v>0.97695909327061536</v>
      </c>
    </row>
    <row r="58" spans="2:6" s="38" customFormat="1" ht="14.4" thickBot="1" x14ac:dyDescent="0.3">
      <c r="B58" s="46"/>
      <c r="C58" s="42" t="s">
        <v>219</v>
      </c>
      <c r="D58" s="50">
        <f>SUM(D53:D57)/5</f>
        <v>10876115232847.4</v>
      </c>
      <c r="E58" s="50">
        <f>SUM(E53:E57)/5</f>
        <v>16779049984760.6</v>
      </c>
      <c r="F58" s="67">
        <f>SUM(F53:F57)/5</f>
        <v>0.66069052300054432</v>
      </c>
    </row>
    <row r="59" spans="2:6" ht="14.4" thickBot="1" x14ac:dyDescent="0.3">
      <c r="B59" s="115" t="s">
        <v>156</v>
      </c>
      <c r="C59" s="43">
        <v>2018</v>
      </c>
      <c r="D59" s="52">
        <f>21788898*H4</f>
        <v>317093832594</v>
      </c>
      <c r="E59" s="52">
        <f>19211540*H4</f>
        <v>279585541620</v>
      </c>
      <c r="F59" s="44">
        <f t="shared" si="0"/>
        <v>1.1341567620294886</v>
      </c>
    </row>
    <row r="60" spans="2:6" ht="14.4" thickBot="1" x14ac:dyDescent="0.3">
      <c r="B60" s="116"/>
      <c r="C60" s="43">
        <v>2019</v>
      </c>
      <c r="D60" s="52">
        <f>24877899*H5</f>
        <v>347544249030</v>
      </c>
      <c r="E60" s="52">
        <f>37145348*H5</f>
        <v>518920511560</v>
      </c>
      <c r="F60" s="44">
        <f t="shared" si="0"/>
        <v>0.66974467435329987</v>
      </c>
    </row>
    <row r="61" spans="2:6" ht="14.4" thickBot="1" x14ac:dyDescent="0.3">
      <c r="B61" s="116"/>
      <c r="C61" s="43">
        <v>2020</v>
      </c>
      <c r="D61" s="52">
        <f>26901929*H6</f>
        <v>381334843575</v>
      </c>
      <c r="E61" s="52">
        <f>27017798*H6</f>
        <v>382977286650</v>
      </c>
      <c r="F61" s="44">
        <f t="shared" si="0"/>
        <v>0.99571138254864444</v>
      </c>
    </row>
    <row r="62" spans="2:6" ht="14.4" thickBot="1" x14ac:dyDescent="0.3">
      <c r="B62" s="116"/>
      <c r="C62" s="43">
        <v>2021</v>
      </c>
      <c r="D62" s="52">
        <f>36056513*H7</f>
        <v>517050396420</v>
      </c>
      <c r="E62" s="52">
        <f>32271352*H7</f>
        <v>462771187680</v>
      </c>
      <c r="F62" s="44">
        <f t="shared" si="0"/>
        <v>1.1172916771506816</v>
      </c>
    </row>
    <row r="63" spans="2:6" ht="14.4" thickBot="1" x14ac:dyDescent="0.3">
      <c r="B63" s="116"/>
      <c r="C63" s="43">
        <v>2022</v>
      </c>
      <c r="D63" s="52">
        <f>47999539*H8</f>
        <v>758824712051</v>
      </c>
      <c r="E63" s="52">
        <f>26533708*H8</f>
        <v>419471389772</v>
      </c>
      <c r="F63" s="44">
        <f t="shared" si="0"/>
        <v>1.8090023075553556</v>
      </c>
    </row>
    <row r="64" spans="2:6" s="38" customFormat="1" ht="14.4" thickBot="1" x14ac:dyDescent="0.3">
      <c r="B64" s="46"/>
      <c r="C64" s="42" t="s">
        <v>219</v>
      </c>
      <c r="D64" s="50">
        <f>SUM(D59:D63)/5</f>
        <v>464369606734</v>
      </c>
      <c r="E64" s="50">
        <f>SUM(E59:E63)/5</f>
        <v>412745183456.40002</v>
      </c>
      <c r="F64" s="67">
        <f>SUM(F59:F63)/5</f>
        <v>1.1451813607274939</v>
      </c>
    </row>
    <row r="65" spans="2:6" ht="14.4" thickBot="1" x14ac:dyDescent="0.3">
      <c r="B65" s="115" t="s">
        <v>162</v>
      </c>
      <c r="C65" s="43">
        <v>2018</v>
      </c>
      <c r="D65" s="52">
        <v>7867786000000</v>
      </c>
      <c r="E65" s="52">
        <f>4935696000000</f>
        <v>4935696000000</v>
      </c>
      <c r="F65" s="44">
        <f t="shared" si="0"/>
        <v>1.5940580619227764</v>
      </c>
    </row>
    <row r="66" spans="2:6" ht="14.4" thickBot="1" x14ac:dyDescent="0.3">
      <c r="B66" s="116"/>
      <c r="C66" s="43">
        <v>2019</v>
      </c>
      <c r="D66" s="52">
        <v>4296479000000</v>
      </c>
      <c r="E66" s="52">
        <f>4691251000000</f>
        <v>4691251000000</v>
      </c>
      <c r="F66" s="44">
        <f t="shared" si="0"/>
        <v>0.91584931183601137</v>
      </c>
    </row>
    <row r="67" spans="2:6" ht="14.4" thickBot="1" x14ac:dyDescent="0.3">
      <c r="B67" s="116"/>
      <c r="C67" s="43">
        <v>2020</v>
      </c>
      <c r="D67" s="52">
        <v>3513628000000</v>
      </c>
      <c r="E67" s="52">
        <f>3872457000000</f>
        <v>3872457000000</v>
      </c>
      <c r="F67" s="44">
        <f t="shared" si="0"/>
        <v>0.90733815766062731</v>
      </c>
    </row>
    <row r="68" spans="2:6" ht="14.4" thickBot="1" x14ac:dyDescent="0.3">
      <c r="B68" s="116"/>
      <c r="C68" s="43">
        <v>2021</v>
      </c>
      <c r="D68" s="52">
        <v>10795075000000</v>
      </c>
      <c r="E68" s="52">
        <f>7500647000000</f>
        <v>7500647000000</v>
      </c>
      <c r="F68" s="44">
        <f t="shared" si="0"/>
        <v>1.4392191766923574</v>
      </c>
    </row>
    <row r="69" spans="2:6" ht="14.4" thickBot="1" x14ac:dyDescent="0.3">
      <c r="B69" s="116"/>
      <c r="C69" s="43">
        <v>2022</v>
      </c>
      <c r="D69" s="52">
        <v>12527439000000</v>
      </c>
      <c r="E69" s="52">
        <f>10701780000000</f>
        <v>10701780000000</v>
      </c>
      <c r="F69" s="44">
        <f t="shared" si="0"/>
        <v>1.1705939572669219</v>
      </c>
    </row>
    <row r="70" spans="2:6" s="38" customFormat="1" ht="14.4" thickBot="1" x14ac:dyDescent="0.3">
      <c r="B70" s="46"/>
      <c r="C70" s="42" t="s">
        <v>219</v>
      </c>
      <c r="D70" s="50">
        <f>SUM(D65:D69)/5</f>
        <v>7800081400000</v>
      </c>
      <c r="E70" s="50">
        <f>SUM(E65:E69)/5</f>
        <v>6340366200000</v>
      </c>
      <c r="F70" s="67">
        <f>SUM(F65:F69)/5</f>
        <v>1.205411733075739</v>
      </c>
    </row>
    <row r="71" spans="2:6" ht="14.4" thickBot="1" x14ac:dyDescent="0.3">
      <c r="B71" s="115" t="s">
        <v>168</v>
      </c>
      <c r="C71" s="43">
        <v>2018</v>
      </c>
      <c r="D71" s="52">
        <v>27692000000000</v>
      </c>
      <c r="E71" s="52">
        <v>116467000000000</v>
      </c>
      <c r="F71" s="44">
        <f t="shared" si="0"/>
        <v>0.23776692110211475</v>
      </c>
    </row>
    <row r="72" spans="2:6" ht="14.4" thickBot="1" x14ac:dyDescent="0.3">
      <c r="B72" s="116"/>
      <c r="C72" s="43">
        <v>2019</v>
      </c>
      <c r="D72" s="52">
        <v>4336000000000</v>
      </c>
      <c r="E72" s="52">
        <v>11197000000000</v>
      </c>
      <c r="F72" s="44">
        <f t="shared" si="0"/>
        <v>0.38724658390640349</v>
      </c>
    </row>
    <row r="73" spans="2:6" ht="14.4" thickBot="1" x14ac:dyDescent="0.3">
      <c r="B73" s="116"/>
      <c r="C73" s="43">
        <v>2020</v>
      </c>
      <c r="D73" s="52">
        <v>3209000000000</v>
      </c>
      <c r="E73" s="52">
        <v>12425000000000</v>
      </c>
      <c r="F73" s="44">
        <f t="shared" si="0"/>
        <v>0.25826961770623741</v>
      </c>
    </row>
    <row r="74" spans="2:6" ht="14.4" thickBot="1" x14ac:dyDescent="0.3">
      <c r="B74" s="116"/>
      <c r="C74" s="43">
        <v>2021</v>
      </c>
      <c r="D74" s="52">
        <v>40023000000000</v>
      </c>
      <c r="E74" s="52">
        <v>103778000000000</v>
      </c>
      <c r="F74" s="44">
        <f t="shared" si="0"/>
        <v>0.3856597737478078</v>
      </c>
    </row>
    <row r="75" spans="2:6" ht="14.4" thickBot="1" x14ac:dyDescent="0.3">
      <c r="B75" s="116"/>
      <c r="C75" s="43">
        <v>2022</v>
      </c>
      <c r="D75" s="52">
        <v>44502000000000</v>
      </c>
      <c r="E75" s="52">
        <v>119198000000000</v>
      </c>
      <c r="F75" s="44">
        <f t="shared" si="0"/>
        <v>0.37334519035554287</v>
      </c>
    </row>
    <row r="76" spans="2:6" s="38" customFormat="1" ht="14.4" thickBot="1" x14ac:dyDescent="0.3">
      <c r="B76" s="46"/>
      <c r="C76" s="42" t="s">
        <v>219</v>
      </c>
      <c r="D76" s="50">
        <f>SUM(D71:D75)/5</f>
        <v>23952400000000</v>
      </c>
      <c r="E76" s="50">
        <f>SUM(E71:E75)/5</f>
        <v>72613000000000</v>
      </c>
      <c r="F76" s="67">
        <f>SUM(F71:F75)/5</f>
        <v>0.32845761736362128</v>
      </c>
    </row>
    <row r="77" spans="2:6" ht="14.4" thickBot="1" x14ac:dyDescent="0.3">
      <c r="B77" s="115" t="s">
        <v>173</v>
      </c>
      <c r="C77" s="43">
        <v>2018</v>
      </c>
      <c r="D77" s="52">
        <v>18959739000000</v>
      </c>
      <c r="E77" s="52">
        <v>48785716000000</v>
      </c>
      <c r="F77" s="44">
        <f t="shared" si="0"/>
        <v>0.38863299659269118</v>
      </c>
    </row>
    <row r="78" spans="2:6" ht="14.4" thickBot="1" x14ac:dyDescent="0.3">
      <c r="B78" s="116"/>
      <c r="C78" s="43">
        <v>2019</v>
      </c>
      <c r="D78" s="52">
        <v>9435985000000</v>
      </c>
      <c r="E78" s="52">
        <v>32585529000000</v>
      </c>
      <c r="F78" s="44">
        <f t="shared" si="0"/>
        <v>0.28957593415162908</v>
      </c>
    </row>
    <row r="79" spans="2:6" ht="14.4" thickBot="1" x14ac:dyDescent="0.3">
      <c r="B79" s="116"/>
      <c r="C79" s="43">
        <v>2020</v>
      </c>
      <c r="D79" s="52">
        <v>18557088000000</v>
      </c>
      <c r="E79" s="52">
        <v>20943824000000</v>
      </c>
      <c r="F79" s="44">
        <f t="shared" si="0"/>
        <v>0.88604105916856446</v>
      </c>
    </row>
    <row r="80" spans="2:6" ht="14.4" thickBot="1" x14ac:dyDescent="0.3">
      <c r="B80" s="116"/>
      <c r="C80" s="43">
        <v>2021</v>
      </c>
      <c r="D80" s="52">
        <v>23284854000000</v>
      </c>
      <c r="E80" s="52">
        <v>30489218000000</v>
      </c>
      <c r="F80" s="44">
        <f t="shared" si="0"/>
        <v>0.76370781303738255</v>
      </c>
    </row>
    <row r="81" spans="2:6" ht="14.4" thickBot="1" x14ac:dyDescent="0.3">
      <c r="B81" s="116"/>
      <c r="C81" s="43">
        <v>2022</v>
      </c>
      <c r="D81" s="52">
        <v>32891585000000</v>
      </c>
      <c r="E81" s="52">
        <v>42037402000000</v>
      </c>
      <c r="F81" s="44">
        <f t="shared" si="0"/>
        <v>0.78243619812661114</v>
      </c>
    </row>
    <row r="82" spans="2:6" s="38" customFormat="1" ht="14.4" thickBot="1" x14ac:dyDescent="0.3">
      <c r="B82" s="46"/>
      <c r="C82" s="42" t="s">
        <v>219</v>
      </c>
      <c r="D82" s="50">
        <f>SUM(D77:D81)/5</f>
        <v>20625850200000</v>
      </c>
      <c r="E82" s="50">
        <f>SUM(E77:E81)/5</f>
        <v>34968337800000</v>
      </c>
      <c r="F82" s="67">
        <f>SUM(F77:F81)/5</f>
        <v>0.62207880021537565</v>
      </c>
    </row>
    <row r="83" spans="2:6" ht="14.4" thickBot="1" x14ac:dyDescent="0.3">
      <c r="B83" s="115" t="s">
        <v>174</v>
      </c>
      <c r="C83" s="43">
        <v>2018</v>
      </c>
      <c r="D83" s="52">
        <v>9357786000000</v>
      </c>
      <c r="E83" s="52">
        <v>15733294000000</v>
      </c>
      <c r="F83" s="44">
        <f t="shared" si="0"/>
        <v>0.59477602083835723</v>
      </c>
    </row>
    <row r="84" spans="2:6" ht="14.4" thickBot="1" x14ac:dyDescent="0.3">
      <c r="B84" s="116"/>
      <c r="C84" s="43">
        <v>2019</v>
      </c>
      <c r="D84" s="52">
        <v>12357000000000</v>
      </c>
      <c r="E84" s="52">
        <v>21293000000000</v>
      </c>
      <c r="F84" s="44">
        <f t="shared" si="0"/>
        <v>0.58033156436387545</v>
      </c>
    </row>
    <row r="85" spans="2:6" ht="14.4" thickBot="1" x14ac:dyDescent="0.3">
      <c r="B85" s="116"/>
      <c r="C85" s="43">
        <v>2020</v>
      </c>
      <c r="D85" s="52">
        <v>13949000000000</v>
      </c>
      <c r="E85" s="52">
        <v>18857000000000</v>
      </c>
      <c r="F85" s="44">
        <f t="shared" si="0"/>
        <v>0.7397253009492496</v>
      </c>
    </row>
    <row r="86" spans="2:6" ht="14.4" thickBot="1" x14ac:dyDescent="0.3">
      <c r="B86" s="116"/>
      <c r="C86" s="43">
        <v>2021</v>
      </c>
      <c r="D86" s="52">
        <v>23284854000000</v>
      </c>
      <c r="E86" s="52">
        <v>30489218000000</v>
      </c>
      <c r="F86" s="44">
        <f t="shared" si="0"/>
        <v>0.76370781303738255</v>
      </c>
    </row>
    <row r="87" spans="2:6" ht="14.4" thickBot="1" x14ac:dyDescent="0.3">
      <c r="B87" s="116"/>
      <c r="C87" s="43">
        <v>2022</v>
      </c>
      <c r="D87" s="52">
        <v>32891585000000</v>
      </c>
      <c r="E87" s="52">
        <v>42037402000000</v>
      </c>
      <c r="F87" s="44">
        <f t="shared" si="0"/>
        <v>0.78243619812661114</v>
      </c>
    </row>
    <row r="88" spans="2:6" s="38" customFormat="1" ht="14.4" thickBot="1" x14ac:dyDescent="0.3">
      <c r="B88" s="46"/>
      <c r="C88" s="42" t="s">
        <v>219</v>
      </c>
      <c r="D88" s="50">
        <f>SUM(D83:D87)/5</f>
        <v>18368045000000</v>
      </c>
      <c r="E88" s="50">
        <f>SUM(E83:E87)/5</f>
        <v>25681982800000</v>
      </c>
      <c r="F88" s="67">
        <f>SUM(F83:F87)/5</f>
        <v>0.69219537946309517</v>
      </c>
    </row>
    <row r="89" spans="2:6" ht="14.4" thickBot="1" x14ac:dyDescent="0.3">
      <c r="B89" s="115" t="s">
        <v>175</v>
      </c>
      <c r="C89" s="43">
        <v>2018</v>
      </c>
      <c r="D89" s="52">
        <v>909813219000</v>
      </c>
      <c r="E89" s="52">
        <v>31081475000000</v>
      </c>
      <c r="F89" s="44">
        <f t="shared" si="0"/>
        <v>2.9271880404646174E-2</v>
      </c>
    </row>
    <row r="90" spans="2:6" ht="14.4" thickBot="1" x14ac:dyDescent="0.3">
      <c r="B90" s="116"/>
      <c r="C90" s="43">
        <v>2019</v>
      </c>
      <c r="D90" s="52">
        <v>3404523000000</v>
      </c>
      <c r="E90" s="52">
        <v>41526417000000</v>
      </c>
      <c r="F90" s="44">
        <f t="shared" si="0"/>
        <v>8.1984511208852903E-2</v>
      </c>
    </row>
    <row r="91" spans="2:6" ht="14.4" thickBot="1" x14ac:dyDescent="0.3">
      <c r="B91" s="116"/>
      <c r="C91" s="43">
        <v>2020</v>
      </c>
      <c r="D91" s="52">
        <v>1440732000000</v>
      </c>
      <c r="E91" s="52">
        <v>14928687000000</v>
      </c>
      <c r="F91" s="44">
        <f t="shared" si="0"/>
        <v>9.6507616510413813E-2</v>
      </c>
    </row>
    <row r="92" spans="2:6" ht="14.4" thickBot="1" x14ac:dyDescent="0.3">
      <c r="B92" s="116"/>
      <c r="C92" s="43">
        <v>2021</v>
      </c>
      <c r="D92" s="52">
        <v>2764584000000</v>
      </c>
      <c r="E92" s="52">
        <v>12014583000000</v>
      </c>
      <c r="F92" s="44">
        <f t="shared" si="0"/>
        <v>0.23010236809716991</v>
      </c>
    </row>
    <row r="93" spans="2:6" ht="14.4" thickBot="1" x14ac:dyDescent="0.3">
      <c r="B93" s="116"/>
      <c r="C93" s="43">
        <v>2022</v>
      </c>
      <c r="D93" s="52">
        <v>3511248000000</v>
      </c>
      <c r="E93" s="52">
        <v>12142988000000</v>
      </c>
      <c r="F93" s="44">
        <f t="shared" si="0"/>
        <v>0.28915848389210302</v>
      </c>
    </row>
    <row r="94" spans="2:6" s="38" customFormat="1" ht="14.4" thickBot="1" x14ac:dyDescent="0.3">
      <c r="B94" s="46"/>
      <c r="C94" s="42" t="s">
        <v>219</v>
      </c>
      <c r="D94" s="50">
        <f>SUM(D89:D93)/5</f>
        <v>2406180043800</v>
      </c>
      <c r="E94" s="50">
        <f>SUM(E89:E93)/5</f>
        <v>22338830000000</v>
      </c>
      <c r="F94" s="67">
        <f>SUM(F89:F93)/5</f>
        <v>0.14540497202263719</v>
      </c>
    </row>
    <row r="95" spans="2:6" ht="14.4" thickBot="1" x14ac:dyDescent="0.3">
      <c r="B95" s="115" t="s">
        <v>176</v>
      </c>
      <c r="C95" s="43">
        <v>2018</v>
      </c>
      <c r="D95" s="52">
        <v>716128002645</v>
      </c>
      <c r="E95" s="52">
        <v>26522885215828</v>
      </c>
      <c r="F95" s="44">
        <f t="shared" si="0"/>
        <v>2.7000380871747616E-2</v>
      </c>
    </row>
    <row r="96" spans="2:6" ht="14.4" thickBot="1" x14ac:dyDescent="0.3">
      <c r="B96" s="116"/>
      <c r="C96" s="43">
        <v>2019</v>
      </c>
      <c r="D96" s="52">
        <v>300140201059</v>
      </c>
      <c r="E96" s="52">
        <v>29768643810275</v>
      </c>
      <c r="F96" s="44">
        <f t="shared" si="0"/>
        <v>1.0082427771042866E-2</v>
      </c>
    </row>
    <row r="97" spans="2:6" ht="14.4" thickBot="1" x14ac:dyDescent="0.3">
      <c r="B97" s="116"/>
      <c r="C97" s="43">
        <v>2020</v>
      </c>
      <c r="D97" s="52">
        <v>-268989679129</v>
      </c>
      <c r="E97" s="52">
        <v>27986826929242</v>
      </c>
      <c r="F97" s="44">
        <f t="shared" si="0"/>
        <v>-9.6112960504267271E-3</v>
      </c>
    </row>
    <row r="98" spans="2:6" ht="14.4" thickBot="1" x14ac:dyDescent="0.3">
      <c r="B98" s="116"/>
      <c r="C98" s="43">
        <v>2021</v>
      </c>
      <c r="D98" s="52">
        <v>468698302439</v>
      </c>
      <c r="E98" s="52">
        <v>30145580969254</v>
      </c>
      <c r="F98" s="44">
        <f t="shared" si="0"/>
        <v>1.5547827819839781E-2</v>
      </c>
    </row>
    <row r="99" spans="2:6" ht="14.4" thickBot="1" x14ac:dyDescent="0.3">
      <c r="B99" s="116"/>
      <c r="C99" s="43">
        <v>2022</v>
      </c>
      <c r="D99" s="52">
        <v>268445188094</v>
      </c>
      <c r="E99" s="52">
        <v>26737280432532</v>
      </c>
      <c r="F99" s="44">
        <f t="shared" si="0"/>
        <v>1.0040108184203178E-2</v>
      </c>
    </row>
    <row r="100" spans="2:6" s="38" customFormat="1" ht="14.4" thickBot="1" x14ac:dyDescent="0.3">
      <c r="B100" s="46"/>
      <c r="C100" s="42" t="s">
        <v>219</v>
      </c>
      <c r="D100" s="50">
        <f>SUM(D95:D99)/5</f>
        <v>296884403021.59998</v>
      </c>
      <c r="E100" s="50">
        <f>SUM(E95:E99)/5</f>
        <v>28232243471426.199</v>
      </c>
      <c r="F100" s="67">
        <f>SUM(F95:F99)/5</f>
        <v>1.0611889719281344E-2</v>
      </c>
    </row>
    <row r="101" spans="2:6" ht="14.4" thickBot="1" x14ac:dyDescent="0.3">
      <c r="B101" s="115" t="s">
        <v>177</v>
      </c>
      <c r="C101" s="43">
        <v>2018</v>
      </c>
      <c r="D101" s="52">
        <v>2045235000000</v>
      </c>
      <c r="E101" s="52">
        <v>3076530000000</v>
      </c>
      <c r="F101" s="44">
        <f t="shared" si="0"/>
        <v>0.66478630145001028</v>
      </c>
    </row>
    <row r="102" spans="2:6" ht="14.4" thickBot="1" x14ac:dyDescent="0.3">
      <c r="B102" s="116"/>
      <c r="C102" s="43">
        <v>2019</v>
      </c>
      <c r="D102" s="52">
        <v>1292353000000</v>
      </c>
      <c r="E102" s="52">
        <v>1566765000000</v>
      </c>
      <c r="F102" s="44">
        <f t="shared" si="0"/>
        <v>0.82485439743675659</v>
      </c>
    </row>
    <row r="103" spans="2:6" ht="14.4" thickBot="1" x14ac:dyDescent="0.3">
      <c r="B103" s="116"/>
      <c r="C103" s="43">
        <v>2020</v>
      </c>
      <c r="D103" s="52">
        <v>2322164000000</v>
      </c>
      <c r="E103" s="52">
        <v>1792506000000</v>
      </c>
      <c r="F103" s="44">
        <f t="shared" si="0"/>
        <v>1.2954846455186202</v>
      </c>
    </row>
    <row r="104" spans="2:6" ht="14.4" thickBot="1" x14ac:dyDescent="0.3">
      <c r="B104" s="116"/>
      <c r="C104" s="43">
        <v>2021</v>
      </c>
      <c r="D104" s="52">
        <v>4895119000000</v>
      </c>
      <c r="E104" s="52">
        <v>5960396000000</v>
      </c>
      <c r="F104" s="44">
        <f t="shared" si="0"/>
        <v>0.82127412339717021</v>
      </c>
    </row>
    <row r="105" spans="2:6" ht="14.4" thickBot="1" x14ac:dyDescent="0.3">
      <c r="B105" s="116"/>
      <c r="C105" s="43">
        <v>2022</v>
      </c>
      <c r="D105" s="52">
        <v>1835397000000</v>
      </c>
      <c r="E105" s="52">
        <v>2052939000000</v>
      </c>
      <c r="F105" s="44">
        <f t="shared" si="0"/>
        <v>0.89403387046570792</v>
      </c>
    </row>
    <row r="106" spans="2:6" s="38" customFormat="1" ht="14.4" thickBot="1" x14ac:dyDescent="0.3">
      <c r="B106" s="46"/>
      <c r="C106" s="42" t="s">
        <v>219</v>
      </c>
      <c r="D106" s="50">
        <f>SUM(D101:D105)/5</f>
        <v>2478053600000</v>
      </c>
      <c r="E106" s="50">
        <f>SUM(E101:E105)/5</f>
        <v>2889827200000</v>
      </c>
      <c r="F106" s="67">
        <f>SUM(F101:F105)/5</f>
        <v>0.90008666765365297</v>
      </c>
    </row>
    <row r="107" spans="2:6" ht="14.4" thickBot="1" x14ac:dyDescent="0.3">
      <c r="B107" s="115" t="s">
        <v>178</v>
      </c>
      <c r="C107" s="43">
        <v>2018</v>
      </c>
      <c r="D107" s="52">
        <v>2722531219000</v>
      </c>
      <c r="E107" s="52">
        <v>28251951385000</v>
      </c>
      <c r="F107" s="44">
        <f t="shared" si="0"/>
        <v>9.636612996741499E-2</v>
      </c>
    </row>
    <row r="108" spans="2:6" ht="14.4" thickBot="1" x14ac:dyDescent="0.3">
      <c r="B108" s="116"/>
      <c r="C108" s="43">
        <v>2019</v>
      </c>
      <c r="D108" s="52">
        <v>265746277000</v>
      </c>
      <c r="E108" s="52">
        <v>30349456945000</v>
      </c>
      <c r="F108" s="44">
        <f t="shared" si="0"/>
        <v>8.7562119309611258E-3</v>
      </c>
    </row>
    <row r="109" spans="2:6" ht="14.4" thickBot="1" x14ac:dyDescent="0.3">
      <c r="B109" s="116"/>
      <c r="C109" s="43">
        <v>2020</v>
      </c>
      <c r="D109" s="52">
        <v>141278814000</v>
      </c>
      <c r="E109" s="52">
        <v>44168467736000</v>
      </c>
      <c r="F109" s="44">
        <f t="shared" si="0"/>
        <v>3.1986351630860208E-3</v>
      </c>
    </row>
    <row r="110" spans="2:6" ht="14.4" thickBot="1" x14ac:dyDescent="0.3">
      <c r="B110" s="116"/>
      <c r="C110" s="43">
        <v>2021</v>
      </c>
      <c r="D110" s="52">
        <v>-3737433881000</v>
      </c>
      <c r="E110" s="52">
        <v>36969569903000</v>
      </c>
      <c r="F110" s="44">
        <f t="shared" si="0"/>
        <v>-0.10109487047878031</v>
      </c>
    </row>
    <row r="111" spans="2:6" ht="14.4" thickBot="1" x14ac:dyDescent="0.3">
      <c r="B111" s="116"/>
      <c r="C111" s="43">
        <v>2022</v>
      </c>
      <c r="D111" s="52">
        <v>-2881595318000</v>
      </c>
      <c r="E111" s="52">
        <v>36135331415000</v>
      </c>
      <c r="F111" s="44">
        <f t="shared" si="0"/>
        <v>-7.9744538244468186E-2</v>
      </c>
    </row>
    <row r="112" spans="2:6" s="38" customFormat="1" ht="14.4" thickBot="1" x14ac:dyDescent="0.3">
      <c r="B112" s="46"/>
      <c r="C112" s="42" t="s">
        <v>219</v>
      </c>
      <c r="D112" s="50">
        <f>SUM(D107:D111)/5</f>
        <v>-697894577800</v>
      </c>
      <c r="E112" s="50">
        <f>SUM(E107:E111)/5</f>
        <v>35174955476800</v>
      </c>
      <c r="F112" s="67">
        <f>SUM(F107:F111)/5</f>
        <v>-1.4503686332357272E-2</v>
      </c>
    </row>
    <row r="113" spans="2:6" ht="14.4" thickBot="1" x14ac:dyDescent="0.3">
      <c r="B113" s="115" t="s">
        <v>179</v>
      </c>
      <c r="C113" s="43">
        <v>2018</v>
      </c>
      <c r="D113" s="52">
        <v>3035139221324</v>
      </c>
      <c r="E113" s="52">
        <v>56799725099343</v>
      </c>
      <c r="F113" s="44">
        <f t="shared" si="0"/>
        <v>5.3435808289838134E-2</v>
      </c>
    </row>
    <row r="114" spans="2:6" ht="14.4" thickBot="1" x14ac:dyDescent="0.3">
      <c r="B114" s="116"/>
      <c r="C114" s="43">
        <v>2019</v>
      </c>
      <c r="D114" s="52">
        <v>9014249440062</v>
      </c>
      <c r="E114" s="52">
        <v>45023495139583</v>
      </c>
      <c r="F114" s="44">
        <f t="shared" si="0"/>
        <v>0.2002121206298132</v>
      </c>
    </row>
    <row r="115" spans="2:6" ht="14.4" thickBot="1" x14ac:dyDescent="0.3">
      <c r="B115" s="116"/>
      <c r="C115" s="43">
        <v>2020</v>
      </c>
      <c r="D115" s="52">
        <v>411061644702</v>
      </c>
      <c r="E115" s="52">
        <v>48237835913277</v>
      </c>
      <c r="F115" s="44">
        <f t="shared" si="0"/>
        <v>8.5215606570952993E-3</v>
      </c>
    </row>
    <row r="116" spans="2:6" ht="14.4" thickBot="1" x14ac:dyDescent="0.3">
      <c r="B116" s="116"/>
      <c r="C116" s="43">
        <v>2021</v>
      </c>
      <c r="D116" s="52">
        <v>192784236637</v>
      </c>
      <c r="E116" s="52">
        <v>27201562416697</v>
      </c>
      <c r="F116" s="44">
        <f t="shared" si="0"/>
        <v>7.0872486544620028E-3</v>
      </c>
    </row>
    <row r="117" spans="2:6" ht="14.4" thickBot="1" x14ac:dyDescent="0.3">
      <c r="B117" s="116"/>
      <c r="C117" s="43">
        <v>2022</v>
      </c>
      <c r="D117" s="52">
        <v>-106580889785</v>
      </c>
      <c r="E117" s="52">
        <v>21452886385290</v>
      </c>
      <c r="F117" s="44">
        <f t="shared" si="0"/>
        <v>-4.9681375210228725E-3</v>
      </c>
    </row>
    <row r="118" spans="2:6" s="38" customFormat="1" ht="14.4" thickBot="1" x14ac:dyDescent="0.3">
      <c r="B118" s="46"/>
      <c r="C118" s="42" t="s">
        <v>219</v>
      </c>
      <c r="D118" s="50">
        <f>SUM(D113:D117)/5</f>
        <v>2509330730588</v>
      </c>
      <c r="E118" s="50">
        <f>SUM(E113:E117)/5</f>
        <v>39743100990838</v>
      </c>
      <c r="F118" s="67">
        <f>SUM(F113:F117)/5</f>
        <v>5.2857720142037157E-2</v>
      </c>
    </row>
    <row r="119" spans="2:6" ht="14.4" thickBot="1" x14ac:dyDescent="0.3">
      <c r="B119" s="115" t="s">
        <v>180</v>
      </c>
      <c r="C119" s="43">
        <v>2018</v>
      </c>
      <c r="D119" s="52">
        <f>7492000*H4</f>
        <v>109031076000</v>
      </c>
      <c r="E119" s="52">
        <f>51046000*H4</f>
        <v>742872438000</v>
      </c>
      <c r="F119" s="44">
        <f t="shared" si="0"/>
        <v>0.14676958037848215</v>
      </c>
    </row>
    <row r="120" spans="2:6" ht="14.4" thickBot="1" x14ac:dyDescent="0.3">
      <c r="B120" s="116"/>
      <c r="C120" s="43">
        <v>2019</v>
      </c>
      <c r="D120" s="52">
        <f>54820000*H5</f>
        <v>765835400000</v>
      </c>
      <c r="E120" s="52">
        <f>92528000*H5</f>
        <v>1292616160000</v>
      </c>
      <c r="F120" s="44">
        <f t="shared" si="0"/>
        <v>0.59246930658827601</v>
      </c>
    </row>
    <row r="121" spans="2:6" ht="14.4" thickBot="1" x14ac:dyDescent="0.3">
      <c r="B121" s="116"/>
      <c r="C121" s="43">
        <v>2020</v>
      </c>
      <c r="D121" s="52">
        <f>-7695000*H6</f>
        <v>-109076625000</v>
      </c>
      <c r="E121" s="52">
        <f>48482000*H6</f>
        <v>687232350000</v>
      </c>
      <c r="F121" s="44">
        <f t="shared" si="0"/>
        <v>-0.15871869972360877</v>
      </c>
    </row>
    <row r="122" spans="2:6" ht="14.4" thickBot="1" x14ac:dyDescent="0.3">
      <c r="B122" s="116"/>
      <c r="C122" s="43">
        <v>2021</v>
      </c>
      <c r="D122" s="52">
        <f>11889000*H7</f>
        <v>170488260000</v>
      </c>
      <c r="E122" s="52">
        <f>25208000*H7</f>
        <v>361482720000</v>
      </c>
      <c r="F122" s="44">
        <f t="shared" si="0"/>
        <v>0.47163598857505556</v>
      </c>
    </row>
    <row r="123" spans="2:6" ht="14.4" thickBot="1" x14ac:dyDescent="0.3">
      <c r="B123" s="116"/>
      <c r="C123" s="43">
        <v>2022</v>
      </c>
      <c r="D123" s="52">
        <f>41588000*H8</f>
        <v>657464692000</v>
      </c>
      <c r="E123" s="52">
        <f>25135000*H8</f>
        <v>397359215000</v>
      </c>
      <c r="F123" s="44">
        <f t="shared" si="0"/>
        <v>1.6545852397055898</v>
      </c>
    </row>
    <row r="124" spans="2:6" s="38" customFormat="1" ht="14.4" thickBot="1" x14ac:dyDescent="0.3">
      <c r="B124" s="46"/>
      <c r="C124" s="42" t="s">
        <v>219</v>
      </c>
      <c r="D124" s="50">
        <f>SUM(D119:D123)/5</f>
        <v>318748560600</v>
      </c>
      <c r="E124" s="50">
        <f>SUM(E119:E123)/5</f>
        <v>696312576600</v>
      </c>
      <c r="F124" s="67">
        <f>SUM(F119:F123)/5</f>
        <v>0.54134828310475902</v>
      </c>
    </row>
    <row r="125" spans="2:6" ht="14.4" thickBot="1" x14ac:dyDescent="0.3">
      <c r="B125" s="115" t="s">
        <v>181</v>
      </c>
      <c r="C125" s="43">
        <v>2018</v>
      </c>
      <c r="D125" s="52">
        <v>1984532000000</v>
      </c>
      <c r="E125" s="52">
        <v>3925649000000</v>
      </c>
      <c r="F125" s="44">
        <f t="shared" si="0"/>
        <v>0.50552965891754464</v>
      </c>
    </row>
    <row r="126" spans="2:6" ht="14.4" thickBot="1" x14ac:dyDescent="0.3">
      <c r="B126" s="116"/>
      <c r="C126" s="43">
        <v>2019</v>
      </c>
      <c r="D126" s="52">
        <v>3530772000000</v>
      </c>
      <c r="E126" s="52">
        <v>3907492000000</v>
      </c>
      <c r="F126" s="44">
        <f t="shared" si="0"/>
        <v>0.90359033364623653</v>
      </c>
    </row>
    <row r="127" spans="2:6" ht="14.4" thickBot="1" x14ac:dyDescent="0.3">
      <c r="B127" s="116"/>
      <c r="C127" s="43">
        <v>2020</v>
      </c>
      <c r="D127" s="52">
        <v>3538011000000</v>
      </c>
      <c r="E127" s="52">
        <v>4215956000000</v>
      </c>
      <c r="F127" s="44">
        <f t="shared" si="0"/>
        <v>0.83919542803577651</v>
      </c>
    </row>
    <row r="128" spans="2:6" ht="14.4" thickBot="1" x14ac:dyDescent="0.3">
      <c r="B128" s="116"/>
      <c r="C128" s="43">
        <v>2021</v>
      </c>
      <c r="D128" s="52">
        <v>2606707000000</v>
      </c>
      <c r="E128" s="52">
        <v>4646506000000</v>
      </c>
      <c r="F128" s="44">
        <f t="shared" si="0"/>
        <v>0.56100368750196383</v>
      </c>
    </row>
    <row r="129" spans="2:6" ht="14.4" thickBot="1" x14ac:dyDescent="0.3">
      <c r="B129" s="116"/>
      <c r="C129" s="43">
        <v>2022</v>
      </c>
      <c r="D129" s="52">
        <v>2401773000000</v>
      </c>
      <c r="E129" s="52">
        <v>4822152000000</v>
      </c>
      <c r="F129" s="44">
        <f t="shared" si="0"/>
        <v>0.49807077835787839</v>
      </c>
    </row>
    <row r="130" spans="2:6" s="38" customFormat="1" ht="14.4" thickBot="1" x14ac:dyDescent="0.3">
      <c r="B130" s="46"/>
      <c r="C130" s="42" t="s">
        <v>219</v>
      </c>
      <c r="D130" s="50">
        <f>SUM(D125:D129)/5</f>
        <v>2812359000000</v>
      </c>
      <c r="E130" s="50">
        <f>SUM(E125:E129)/5</f>
        <v>4303551000000</v>
      </c>
      <c r="F130" s="67">
        <f>SUM(F125:F129)/5</f>
        <v>0.66147797729187996</v>
      </c>
    </row>
    <row r="131" spans="2:6" ht="14.4" thickBot="1" x14ac:dyDescent="0.3">
      <c r="B131" s="115" t="s">
        <v>182</v>
      </c>
      <c r="C131" s="43">
        <v>2018</v>
      </c>
      <c r="D131" s="52">
        <v>404517000000</v>
      </c>
      <c r="E131" s="52">
        <v>9739775000000</v>
      </c>
      <c r="F131" s="44">
        <f t="shared" si="0"/>
        <v>4.1532478933034904E-2</v>
      </c>
    </row>
    <row r="132" spans="2:6" ht="14.4" thickBot="1" x14ac:dyDescent="0.3">
      <c r="B132" s="116"/>
      <c r="C132" s="43">
        <v>2019</v>
      </c>
      <c r="D132" s="52">
        <v>209344000000</v>
      </c>
      <c r="E132" s="52">
        <v>2963506000000</v>
      </c>
      <c r="F132" s="44">
        <f t="shared" si="0"/>
        <v>7.0640653334260159E-2</v>
      </c>
    </row>
    <row r="133" spans="2:6" ht="14.4" thickBot="1" x14ac:dyDescent="0.3">
      <c r="B133" s="116"/>
      <c r="C133" s="43">
        <v>2020</v>
      </c>
      <c r="D133" s="52">
        <v>1000000000000</v>
      </c>
      <c r="E133" s="52">
        <v>4141265000000</v>
      </c>
      <c r="F133" s="44">
        <f t="shared" si="0"/>
        <v>0.24147211057490889</v>
      </c>
    </row>
    <row r="134" spans="2:6" ht="14.4" thickBot="1" x14ac:dyDescent="0.3">
      <c r="B134" s="116"/>
      <c r="C134" s="43">
        <v>2021</v>
      </c>
      <c r="D134" s="52">
        <v>1536576000000</v>
      </c>
      <c r="E134" s="52">
        <v>3899406000000</v>
      </c>
      <c r="F134" s="44">
        <f t="shared" si="0"/>
        <v>0.39405386358845423</v>
      </c>
    </row>
    <row r="135" spans="2:6" ht="14.4" thickBot="1" x14ac:dyDescent="0.3">
      <c r="B135" s="116"/>
      <c r="C135" s="43">
        <v>2022</v>
      </c>
      <c r="D135" s="52">
        <v>2995242000000</v>
      </c>
      <c r="E135" s="52">
        <v>4849160000000</v>
      </c>
      <c r="F135" s="44">
        <f t="shared" si="0"/>
        <v>0.61768265019096091</v>
      </c>
    </row>
    <row r="136" spans="2:6" s="38" customFormat="1" ht="14.4" thickBot="1" x14ac:dyDescent="0.3">
      <c r="B136" s="46"/>
      <c r="C136" s="42" t="s">
        <v>219</v>
      </c>
      <c r="D136" s="50">
        <f>SUM(D131:D135)/5</f>
        <v>1229135800000</v>
      </c>
      <c r="E136" s="50">
        <f>SUM(E131:E135)/5</f>
        <v>5118622400000</v>
      </c>
      <c r="F136" s="67">
        <f>SUM(F131:F135)/5</f>
        <v>0.27307635132432384</v>
      </c>
    </row>
    <row r="137" spans="2:6" ht="14.4" thickBot="1" x14ac:dyDescent="0.3">
      <c r="B137" s="115" t="s">
        <v>183</v>
      </c>
      <c r="C137" s="43">
        <v>2018</v>
      </c>
      <c r="D137" s="52">
        <v>-10012815061926</v>
      </c>
      <c r="E137" s="52">
        <v>25917300925196</v>
      </c>
      <c r="F137" s="44">
        <f t="shared" si="0"/>
        <v>-0.38633710704774238</v>
      </c>
    </row>
    <row r="138" spans="2:6" ht="14.4" thickBot="1" x14ac:dyDescent="0.3">
      <c r="B138" s="116"/>
      <c r="C138" s="43">
        <v>2019</v>
      </c>
      <c r="D138" s="52">
        <v>-9787531145826</v>
      </c>
      <c r="E138" s="52">
        <v>35964406789478</v>
      </c>
      <c r="F138" s="44">
        <f t="shared" si="0"/>
        <v>-0.27214493493854897</v>
      </c>
    </row>
    <row r="139" spans="2:6" ht="14.4" thickBot="1" x14ac:dyDescent="0.3">
      <c r="B139" s="116"/>
      <c r="C139" s="43">
        <v>2020</v>
      </c>
      <c r="D139" s="52">
        <v>-17054044065790</v>
      </c>
      <c r="E139" s="52">
        <v>60879800934460</v>
      </c>
      <c r="F139" s="44">
        <f t="shared" si="0"/>
        <v>-0.28012647551442371</v>
      </c>
    </row>
    <row r="140" spans="2:6" ht="14.4" thickBot="1" x14ac:dyDescent="0.3">
      <c r="B140" s="116"/>
      <c r="C140" s="43">
        <v>2021</v>
      </c>
      <c r="D140" s="52">
        <v>-7219299864960</v>
      </c>
      <c r="E140" s="52">
        <v>73944819792809</v>
      </c>
      <c r="F140" s="44">
        <f t="shared" si="0"/>
        <v>-9.7630907549551754E-2</v>
      </c>
    </row>
    <row r="141" spans="2:6" ht="14.4" thickBot="1" x14ac:dyDescent="0.3">
      <c r="B141" s="116"/>
      <c r="C141" s="43">
        <v>2022</v>
      </c>
      <c r="D141" s="52">
        <v>-2262156543991</v>
      </c>
      <c r="E141" s="52">
        <v>75601049529224</v>
      </c>
      <c r="F141" s="44">
        <f t="shared" si="0"/>
        <v>-2.9922290207314531E-2</v>
      </c>
    </row>
    <row r="142" spans="2:6" s="38" customFormat="1" ht="14.4" thickBot="1" x14ac:dyDescent="0.3">
      <c r="B142" s="46"/>
      <c r="C142" s="42" t="s">
        <v>219</v>
      </c>
      <c r="D142" s="50">
        <f>SUM(D137:D141)/5</f>
        <v>-9267169336498.5996</v>
      </c>
      <c r="E142" s="50">
        <f>SUM(E137:E141)/5</f>
        <v>54461475594233.398</v>
      </c>
      <c r="F142" s="67">
        <f>SUM(F137:F141)/5</f>
        <v>-0.21323234305151631</v>
      </c>
    </row>
    <row r="143" spans="2:6" ht="14.4" thickBot="1" x14ac:dyDescent="0.3">
      <c r="B143" s="115" t="s">
        <v>184</v>
      </c>
      <c r="C143" s="43">
        <v>2018</v>
      </c>
      <c r="D143" s="52">
        <v>-1420759000000</v>
      </c>
      <c r="E143" s="52">
        <v>6176251000000</v>
      </c>
      <c r="F143" s="44">
        <f t="shared" si="0"/>
        <v>-0.23003582594036415</v>
      </c>
    </row>
    <row r="144" spans="2:6" ht="14.4" thickBot="1" x14ac:dyDescent="0.3">
      <c r="B144" s="116"/>
      <c r="C144" s="43">
        <v>2019</v>
      </c>
      <c r="D144" s="52">
        <v>-2080269000000</v>
      </c>
      <c r="E144" s="52">
        <v>11958185000000</v>
      </c>
      <c r="F144" s="44">
        <f t="shared" si="0"/>
        <v>-0.17396193485884354</v>
      </c>
    </row>
    <row r="145" spans="2:6" ht="14.4" thickBot="1" x14ac:dyDescent="0.3">
      <c r="B145" s="116"/>
      <c r="C145" s="43">
        <v>2020</v>
      </c>
      <c r="D145" s="52">
        <v>5400909000000</v>
      </c>
      <c r="E145" s="52">
        <v>5865165000000</v>
      </c>
      <c r="F145" s="44">
        <f t="shared" si="0"/>
        <v>0.92084519361347894</v>
      </c>
    </row>
    <row r="146" spans="2:6" ht="14.4" thickBot="1" x14ac:dyDescent="0.3">
      <c r="B146" s="116"/>
      <c r="C146" s="43">
        <v>2021</v>
      </c>
      <c r="D146" s="52">
        <v>4039395000000</v>
      </c>
      <c r="E146" s="52">
        <v>5685990000000</v>
      </c>
      <c r="F146" s="44">
        <f t="shared" si="0"/>
        <v>0.71041190716128588</v>
      </c>
    </row>
    <row r="147" spans="2:6" ht="14.4" thickBot="1" x14ac:dyDescent="0.3">
      <c r="B147" s="116"/>
      <c r="C147" s="43">
        <v>2022</v>
      </c>
      <c r="D147" s="52">
        <v>3114511000000</v>
      </c>
      <c r="E147" s="52">
        <v>2547165000000</v>
      </c>
      <c r="F147" s="44">
        <f t="shared" si="0"/>
        <v>1.2227362577610794</v>
      </c>
    </row>
    <row r="148" spans="2:6" s="38" customFormat="1" ht="14.4" thickBot="1" x14ac:dyDescent="0.3">
      <c r="B148" s="46"/>
      <c r="C148" s="42" t="s">
        <v>219</v>
      </c>
      <c r="D148" s="50">
        <f>SUM(D143:D147)/5</f>
        <v>1810757400000</v>
      </c>
      <c r="E148" s="50">
        <f>SUM(E143:E147)/5</f>
        <v>6446551200000</v>
      </c>
      <c r="F148" s="67">
        <f>SUM(F143:F147)/5</f>
        <v>0.48999911954732733</v>
      </c>
    </row>
    <row r="149" spans="2:6" ht="14.4" thickBot="1" x14ac:dyDescent="0.3">
      <c r="B149" s="115" t="s">
        <v>185</v>
      </c>
      <c r="C149" s="43">
        <v>2018</v>
      </c>
      <c r="D149" s="52">
        <v>1818103331586</v>
      </c>
      <c r="E149" s="52">
        <v>7327262600178</v>
      </c>
      <c r="F149" s="44">
        <f t="shared" si="0"/>
        <v>0.2481285891871588</v>
      </c>
    </row>
    <row r="150" spans="2:6" ht="14.4" thickBot="1" x14ac:dyDescent="0.3">
      <c r="B150" s="116"/>
      <c r="C150" s="43">
        <v>2019</v>
      </c>
      <c r="D150" s="52">
        <v>26265454496</v>
      </c>
      <c r="E150" s="52">
        <v>5979916258397</v>
      </c>
      <c r="F150" s="44">
        <f t="shared" si="0"/>
        <v>4.3922779786619995E-3</v>
      </c>
    </row>
    <row r="151" spans="2:6" ht="14.4" thickBot="1" x14ac:dyDescent="0.3">
      <c r="B151" s="116"/>
      <c r="C151" s="43">
        <v>2020</v>
      </c>
      <c r="D151" s="52">
        <v>561476766499</v>
      </c>
      <c r="E151" s="52">
        <v>7363940971446</v>
      </c>
      <c r="F151" s="44">
        <f t="shared" si="0"/>
        <v>7.6246777191201084E-2</v>
      </c>
    </row>
    <row r="152" spans="2:6" ht="14.4" thickBot="1" x14ac:dyDescent="0.3">
      <c r="B152" s="116"/>
      <c r="C152" s="43">
        <v>2021</v>
      </c>
      <c r="D152" s="52">
        <v>-18561790720</v>
      </c>
      <c r="E152" s="52">
        <v>9627618926198</v>
      </c>
      <c r="F152" s="44">
        <f t="shared" si="0"/>
        <v>-1.9279731429222816E-3</v>
      </c>
    </row>
    <row r="153" spans="2:6" ht="14.4" thickBot="1" x14ac:dyDescent="0.3">
      <c r="B153" s="116"/>
      <c r="C153" s="43">
        <v>2022</v>
      </c>
      <c r="D153" s="52">
        <v>151945946515</v>
      </c>
      <c r="E153" s="52">
        <v>6522489968497</v>
      </c>
      <c r="F153" s="44">
        <f t="shared" si="0"/>
        <v>2.3295696466975699E-2</v>
      </c>
    </row>
    <row r="154" spans="2:6" s="38" customFormat="1" ht="14.4" thickBot="1" x14ac:dyDescent="0.3">
      <c r="B154" s="46"/>
      <c r="C154" s="42" t="s">
        <v>219</v>
      </c>
      <c r="D154" s="50">
        <f>SUM(D149:D153)/5</f>
        <v>507845941675.20001</v>
      </c>
      <c r="E154" s="50">
        <f>SUM(E149:E153)/5</f>
        <v>7364245744943.2002</v>
      </c>
      <c r="F154" s="67">
        <f>SUM(F149:F153)/5</f>
        <v>7.0027073536215068E-2</v>
      </c>
    </row>
    <row r="155" spans="2:6" ht="14.4" thickBot="1" x14ac:dyDescent="0.3">
      <c r="B155" s="115" t="s">
        <v>186</v>
      </c>
      <c r="C155" s="43">
        <v>2018</v>
      </c>
      <c r="D155" s="52">
        <v>733378642718</v>
      </c>
      <c r="E155" s="52">
        <v>5248086459534</v>
      </c>
      <c r="F155" s="44">
        <f t="shared" si="0"/>
        <v>0.13974210378826721</v>
      </c>
    </row>
    <row r="156" spans="2:6" ht="14.4" thickBot="1" x14ac:dyDescent="0.3">
      <c r="B156" s="116"/>
      <c r="C156" s="43">
        <v>2019</v>
      </c>
      <c r="D156" s="52">
        <v>1265494814876</v>
      </c>
      <c r="E156" s="52">
        <v>6195054960778</v>
      </c>
      <c r="F156" s="44">
        <f t="shared" si="0"/>
        <v>0.20427499398925011</v>
      </c>
    </row>
    <row r="157" spans="2:6" ht="14.4" thickBot="1" x14ac:dyDescent="0.3">
      <c r="B157" s="116"/>
      <c r="C157" s="43">
        <v>2020</v>
      </c>
      <c r="D157" s="52">
        <v>803263880033</v>
      </c>
      <c r="E157" s="52">
        <v>4706620585979</v>
      </c>
      <c r="F157" s="44">
        <f t="shared" si="0"/>
        <v>0.17066680123439718</v>
      </c>
    </row>
    <row r="158" spans="2:6" ht="14.4" thickBot="1" x14ac:dyDescent="0.3">
      <c r="B158" s="116"/>
      <c r="C158" s="43">
        <v>2021</v>
      </c>
      <c r="D158" s="52">
        <v>35025515989</v>
      </c>
      <c r="E158" s="52">
        <v>5055794364736</v>
      </c>
      <c r="F158" s="44">
        <f t="shared" si="0"/>
        <v>6.9277967935764606E-3</v>
      </c>
    </row>
    <row r="159" spans="2:6" ht="14.4" thickBot="1" x14ac:dyDescent="0.3">
      <c r="B159" s="116"/>
      <c r="C159" s="43">
        <v>2022</v>
      </c>
      <c r="D159" s="52">
        <v>25538790864</v>
      </c>
      <c r="E159" s="52">
        <v>5472902652071</v>
      </c>
      <c r="F159" s="44">
        <f t="shared" si="0"/>
        <v>4.666406930212046E-3</v>
      </c>
    </row>
    <row r="160" spans="2:6" s="38" customFormat="1" ht="14.4" thickBot="1" x14ac:dyDescent="0.3">
      <c r="B160" s="46"/>
      <c r="C160" s="42" t="s">
        <v>219</v>
      </c>
      <c r="D160" s="50">
        <f>SUM(D155:D159)/5</f>
        <v>572540328896</v>
      </c>
      <c r="E160" s="50">
        <f>SUM(E155:E159)/5</f>
        <v>5335691804619.5996</v>
      </c>
      <c r="F160" s="67">
        <f>SUM(F155:F159)/5</f>
        <v>0.10525562054714059</v>
      </c>
    </row>
    <row r="161" spans="4:6" ht="13.2" x14ac:dyDescent="0.25">
      <c r="D161" s="16"/>
      <c r="E161" s="16"/>
      <c r="F161" s="71"/>
    </row>
    <row r="162" spans="4:6" ht="13.2" x14ac:dyDescent="0.25">
      <c r="D162" s="16"/>
      <c r="E162" s="16"/>
      <c r="F162" s="71"/>
    </row>
    <row r="163" spans="4:6" ht="13.2" x14ac:dyDescent="0.25">
      <c r="D163" s="16"/>
      <c r="E163" s="16"/>
      <c r="F163" s="71"/>
    </row>
    <row r="164" spans="4:6" ht="13.2" x14ac:dyDescent="0.25">
      <c r="D164" s="16"/>
      <c r="E164" s="16"/>
      <c r="F164" s="71"/>
    </row>
    <row r="165" spans="4:6" ht="13.2" x14ac:dyDescent="0.25">
      <c r="D165" s="16"/>
      <c r="E165" s="16"/>
      <c r="F165" s="71"/>
    </row>
    <row r="166" spans="4:6" ht="13.2" x14ac:dyDescent="0.25">
      <c r="D166" s="16"/>
      <c r="E166" s="16"/>
      <c r="F166" s="71"/>
    </row>
    <row r="167" spans="4:6" ht="13.2" x14ac:dyDescent="0.25">
      <c r="D167" s="16"/>
      <c r="E167" s="16"/>
      <c r="F167" s="71"/>
    </row>
    <row r="168" spans="4:6" ht="13.2" x14ac:dyDescent="0.25">
      <c r="D168" s="16"/>
      <c r="E168" s="16"/>
      <c r="F168" s="71"/>
    </row>
    <row r="169" spans="4:6" ht="13.2" x14ac:dyDescent="0.25">
      <c r="D169" s="16"/>
      <c r="E169" s="16"/>
      <c r="F169" s="71"/>
    </row>
    <row r="170" spans="4:6" ht="13.2" x14ac:dyDescent="0.25">
      <c r="D170" s="16"/>
      <c r="E170" s="16"/>
      <c r="F170" s="71"/>
    </row>
    <row r="171" spans="4:6" ht="13.2" x14ac:dyDescent="0.25">
      <c r="D171" s="16"/>
      <c r="E171" s="16"/>
      <c r="F171" s="71"/>
    </row>
    <row r="172" spans="4:6" ht="13.2" x14ac:dyDescent="0.25">
      <c r="D172" s="16"/>
      <c r="E172" s="16"/>
      <c r="F172" s="71"/>
    </row>
    <row r="173" spans="4:6" ht="13.2" x14ac:dyDescent="0.25">
      <c r="D173" s="16"/>
      <c r="E173" s="16"/>
      <c r="F173" s="71"/>
    </row>
    <row r="174" spans="4:6" ht="13.2" x14ac:dyDescent="0.25">
      <c r="D174" s="16"/>
      <c r="E174" s="16"/>
      <c r="F174" s="71"/>
    </row>
    <row r="175" spans="4:6" ht="13.2" x14ac:dyDescent="0.25">
      <c r="D175" s="16"/>
      <c r="E175" s="16"/>
      <c r="F175" s="71"/>
    </row>
    <row r="176" spans="4:6" ht="13.2" x14ac:dyDescent="0.25">
      <c r="D176" s="16"/>
      <c r="E176" s="16"/>
      <c r="F176" s="71"/>
    </row>
    <row r="177" spans="4:6" ht="13.2" x14ac:dyDescent="0.25">
      <c r="D177" s="16"/>
      <c r="E177" s="16"/>
      <c r="F177" s="71"/>
    </row>
    <row r="178" spans="4:6" ht="13.2" x14ac:dyDescent="0.25">
      <c r="D178" s="16"/>
      <c r="E178" s="16"/>
      <c r="F178" s="71"/>
    </row>
    <row r="179" spans="4:6" ht="13.2" x14ac:dyDescent="0.25">
      <c r="D179" s="16"/>
      <c r="E179" s="16"/>
      <c r="F179" s="71"/>
    </row>
    <row r="180" spans="4:6" ht="13.2" x14ac:dyDescent="0.25">
      <c r="D180" s="16"/>
      <c r="E180" s="16"/>
      <c r="F180" s="71"/>
    </row>
    <row r="181" spans="4:6" ht="13.2" x14ac:dyDescent="0.25">
      <c r="D181" s="16"/>
      <c r="E181" s="16"/>
      <c r="F181" s="71"/>
    </row>
    <row r="182" spans="4:6" ht="13.2" x14ac:dyDescent="0.25">
      <c r="D182" s="16"/>
      <c r="E182" s="16"/>
      <c r="F182" s="71"/>
    </row>
    <row r="183" spans="4:6" ht="13.2" x14ac:dyDescent="0.25">
      <c r="D183" s="16"/>
      <c r="E183" s="16"/>
      <c r="F183" s="71"/>
    </row>
    <row r="184" spans="4:6" ht="13.2" x14ac:dyDescent="0.25">
      <c r="D184" s="16"/>
      <c r="E184" s="16"/>
      <c r="F184" s="71"/>
    </row>
    <row r="185" spans="4:6" ht="13.2" x14ac:dyDescent="0.25">
      <c r="D185" s="16"/>
      <c r="E185" s="16"/>
      <c r="F185" s="71"/>
    </row>
    <row r="186" spans="4:6" ht="13.2" x14ac:dyDescent="0.25">
      <c r="D186" s="16"/>
      <c r="E186" s="16"/>
      <c r="F186" s="71"/>
    </row>
    <row r="187" spans="4:6" ht="13.2" x14ac:dyDescent="0.25">
      <c r="D187" s="16"/>
      <c r="E187" s="16"/>
      <c r="F187" s="71"/>
    </row>
    <row r="188" spans="4:6" ht="13.2" x14ac:dyDescent="0.25">
      <c r="D188" s="16"/>
      <c r="E188" s="16"/>
      <c r="F188" s="71"/>
    </row>
    <row r="189" spans="4:6" ht="13.2" x14ac:dyDescent="0.25">
      <c r="D189" s="16"/>
      <c r="E189" s="16"/>
      <c r="F189" s="71"/>
    </row>
    <row r="190" spans="4:6" ht="13.2" x14ac:dyDescent="0.25">
      <c r="D190" s="16"/>
      <c r="E190" s="16"/>
      <c r="F190" s="71"/>
    </row>
    <row r="191" spans="4:6" ht="13.2" x14ac:dyDescent="0.25">
      <c r="D191" s="16"/>
      <c r="E191" s="16"/>
      <c r="F191" s="71"/>
    </row>
    <row r="192" spans="4:6" ht="13.2" x14ac:dyDescent="0.25">
      <c r="D192" s="16"/>
      <c r="E192" s="16"/>
      <c r="F192" s="71"/>
    </row>
    <row r="193" spans="4:6" ht="13.2" x14ac:dyDescent="0.25">
      <c r="D193" s="16"/>
      <c r="E193" s="16"/>
      <c r="F193" s="71"/>
    </row>
    <row r="194" spans="4:6" ht="13.2" x14ac:dyDescent="0.25">
      <c r="D194" s="16"/>
      <c r="E194" s="16"/>
      <c r="F194" s="71"/>
    </row>
    <row r="195" spans="4:6" ht="13.2" x14ac:dyDescent="0.25">
      <c r="D195" s="16"/>
      <c r="E195" s="16"/>
      <c r="F195" s="71"/>
    </row>
    <row r="196" spans="4:6" ht="13.2" x14ac:dyDescent="0.25">
      <c r="D196" s="16"/>
      <c r="E196" s="16"/>
      <c r="F196" s="71"/>
    </row>
    <row r="197" spans="4:6" ht="13.2" x14ac:dyDescent="0.25">
      <c r="D197" s="16"/>
      <c r="E197" s="16"/>
      <c r="F197" s="71"/>
    </row>
    <row r="198" spans="4:6" ht="13.2" x14ac:dyDescent="0.25">
      <c r="D198" s="16"/>
      <c r="E198" s="16"/>
      <c r="F198" s="71"/>
    </row>
    <row r="199" spans="4:6" ht="13.2" x14ac:dyDescent="0.25">
      <c r="D199" s="16"/>
      <c r="E199" s="16"/>
      <c r="F199" s="71"/>
    </row>
    <row r="200" spans="4:6" ht="13.2" x14ac:dyDescent="0.25">
      <c r="D200" s="16"/>
      <c r="E200" s="16"/>
      <c r="F200" s="71"/>
    </row>
    <row r="201" spans="4:6" ht="13.2" x14ac:dyDescent="0.25">
      <c r="D201" s="16"/>
      <c r="E201" s="16"/>
      <c r="F201" s="71"/>
    </row>
    <row r="202" spans="4:6" ht="13.2" x14ac:dyDescent="0.25">
      <c r="D202" s="16"/>
      <c r="E202" s="16"/>
      <c r="F202" s="71"/>
    </row>
    <row r="203" spans="4:6" ht="13.2" x14ac:dyDescent="0.25">
      <c r="D203" s="16"/>
      <c r="E203" s="16"/>
      <c r="F203" s="71"/>
    </row>
    <row r="204" spans="4:6" ht="13.2" x14ac:dyDescent="0.25">
      <c r="D204" s="16"/>
      <c r="E204" s="16"/>
      <c r="F204" s="71"/>
    </row>
    <row r="205" spans="4:6" ht="13.2" x14ac:dyDescent="0.25">
      <c r="D205" s="16"/>
      <c r="E205" s="16"/>
      <c r="F205" s="71"/>
    </row>
    <row r="206" spans="4:6" ht="13.2" x14ac:dyDescent="0.25">
      <c r="D206" s="16"/>
      <c r="E206" s="16"/>
      <c r="F206" s="71"/>
    </row>
    <row r="207" spans="4:6" ht="13.2" x14ac:dyDescent="0.25">
      <c r="D207" s="16"/>
      <c r="E207" s="16"/>
      <c r="F207" s="71"/>
    </row>
    <row r="208" spans="4:6" ht="13.2" x14ac:dyDescent="0.25">
      <c r="D208" s="16"/>
      <c r="E208" s="16"/>
      <c r="F208" s="71"/>
    </row>
    <row r="209" spans="4:6" ht="13.2" x14ac:dyDescent="0.25">
      <c r="D209" s="16"/>
      <c r="E209" s="16"/>
      <c r="F209" s="71"/>
    </row>
    <row r="210" spans="4:6" ht="13.2" x14ac:dyDescent="0.25">
      <c r="D210" s="16"/>
      <c r="E210" s="16"/>
      <c r="F210" s="71"/>
    </row>
    <row r="211" spans="4:6" ht="13.2" x14ac:dyDescent="0.25">
      <c r="D211" s="16"/>
      <c r="E211" s="16"/>
      <c r="F211" s="71"/>
    </row>
    <row r="212" spans="4:6" ht="13.2" x14ac:dyDescent="0.25">
      <c r="D212" s="16"/>
      <c r="E212" s="16"/>
      <c r="F212" s="71"/>
    </row>
    <row r="213" spans="4:6" ht="13.2" x14ac:dyDescent="0.25">
      <c r="D213" s="16"/>
      <c r="E213" s="16"/>
      <c r="F213" s="71"/>
    </row>
    <row r="214" spans="4:6" ht="13.2" x14ac:dyDescent="0.25">
      <c r="D214" s="16"/>
      <c r="E214" s="16"/>
      <c r="F214" s="71"/>
    </row>
    <row r="215" spans="4:6" ht="13.2" x14ac:dyDescent="0.25">
      <c r="D215" s="16"/>
      <c r="E215" s="16"/>
      <c r="F215" s="71"/>
    </row>
    <row r="216" spans="4:6" ht="13.2" x14ac:dyDescent="0.25">
      <c r="D216" s="16"/>
      <c r="E216" s="16"/>
      <c r="F216" s="71"/>
    </row>
    <row r="217" spans="4:6" ht="13.2" x14ac:dyDescent="0.25">
      <c r="D217" s="16"/>
      <c r="E217" s="16"/>
      <c r="F217" s="71"/>
    </row>
    <row r="218" spans="4:6" ht="13.2" x14ac:dyDescent="0.25">
      <c r="D218" s="16"/>
      <c r="E218" s="16"/>
      <c r="F218" s="71"/>
    </row>
    <row r="219" spans="4:6" ht="13.2" x14ac:dyDescent="0.25">
      <c r="D219" s="16"/>
      <c r="E219" s="16"/>
      <c r="F219" s="71"/>
    </row>
    <row r="220" spans="4:6" ht="13.2" x14ac:dyDescent="0.25">
      <c r="D220" s="16"/>
      <c r="E220" s="16"/>
      <c r="F220" s="71"/>
    </row>
    <row r="221" spans="4:6" ht="13.2" x14ac:dyDescent="0.25">
      <c r="D221" s="16"/>
      <c r="E221" s="16"/>
      <c r="F221" s="71"/>
    </row>
    <row r="222" spans="4:6" ht="13.2" x14ac:dyDescent="0.25">
      <c r="D222" s="16"/>
      <c r="E222" s="16"/>
      <c r="F222" s="71"/>
    </row>
    <row r="223" spans="4:6" ht="13.2" x14ac:dyDescent="0.25">
      <c r="D223" s="16"/>
      <c r="E223" s="16"/>
      <c r="F223" s="71"/>
    </row>
    <row r="224" spans="4:6" ht="13.2" x14ac:dyDescent="0.25">
      <c r="D224" s="16"/>
      <c r="E224" s="16"/>
      <c r="F224" s="71"/>
    </row>
    <row r="225" spans="4:6" ht="13.2" x14ac:dyDescent="0.25">
      <c r="D225" s="16"/>
      <c r="E225" s="16"/>
      <c r="F225" s="71"/>
    </row>
    <row r="226" spans="4:6" ht="13.2" x14ac:dyDescent="0.25">
      <c r="D226" s="16"/>
      <c r="E226" s="16"/>
      <c r="F226" s="71"/>
    </row>
    <row r="227" spans="4:6" ht="13.2" x14ac:dyDescent="0.25">
      <c r="D227" s="16"/>
      <c r="E227" s="16"/>
      <c r="F227" s="71"/>
    </row>
    <row r="228" spans="4:6" ht="13.2" x14ac:dyDescent="0.25">
      <c r="D228" s="16"/>
      <c r="E228" s="16"/>
      <c r="F228" s="71"/>
    </row>
    <row r="229" spans="4:6" ht="13.2" x14ac:dyDescent="0.25">
      <c r="D229" s="16"/>
      <c r="E229" s="16"/>
      <c r="F229" s="71"/>
    </row>
    <row r="230" spans="4:6" ht="13.2" x14ac:dyDescent="0.25">
      <c r="D230" s="16"/>
      <c r="E230" s="16"/>
      <c r="F230" s="71"/>
    </row>
    <row r="231" spans="4:6" ht="13.2" x14ac:dyDescent="0.25">
      <c r="D231" s="16"/>
      <c r="E231" s="16"/>
      <c r="F231" s="71"/>
    </row>
    <row r="232" spans="4:6" ht="13.2" x14ac:dyDescent="0.25">
      <c r="D232" s="16"/>
      <c r="E232" s="16"/>
      <c r="F232" s="71"/>
    </row>
    <row r="233" spans="4:6" ht="13.2" x14ac:dyDescent="0.25">
      <c r="D233" s="16"/>
      <c r="E233" s="16"/>
      <c r="F233" s="71"/>
    </row>
    <row r="234" spans="4:6" ht="13.2" x14ac:dyDescent="0.25">
      <c r="D234" s="16"/>
      <c r="E234" s="16"/>
      <c r="F234" s="71"/>
    </row>
    <row r="235" spans="4:6" ht="13.2" x14ac:dyDescent="0.25">
      <c r="D235" s="16"/>
      <c r="E235" s="16"/>
      <c r="F235" s="71"/>
    </row>
    <row r="236" spans="4:6" ht="13.2" x14ac:dyDescent="0.25">
      <c r="D236" s="16"/>
      <c r="E236" s="16"/>
      <c r="F236" s="71"/>
    </row>
    <row r="237" spans="4:6" ht="13.2" x14ac:dyDescent="0.25">
      <c r="D237" s="16"/>
      <c r="E237" s="16"/>
      <c r="F237" s="71"/>
    </row>
    <row r="238" spans="4:6" ht="13.2" x14ac:dyDescent="0.25">
      <c r="D238" s="16"/>
      <c r="E238" s="16"/>
      <c r="F238" s="71"/>
    </row>
    <row r="239" spans="4:6" ht="13.2" x14ac:dyDescent="0.25">
      <c r="D239" s="16"/>
      <c r="E239" s="16"/>
      <c r="F239" s="71"/>
    </row>
    <row r="240" spans="4:6" ht="13.2" x14ac:dyDescent="0.25">
      <c r="D240" s="16"/>
      <c r="E240" s="16"/>
      <c r="F240" s="71"/>
    </row>
    <row r="241" spans="4:6" ht="13.2" x14ac:dyDescent="0.25">
      <c r="D241" s="16"/>
      <c r="E241" s="16"/>
      <c r="F241" s="71"/>
    </row>
    <row r="242" spans="4:6" ht="13.2" x14ac:dyDescent="0.25">
      <c r="D242" s="16"/>
      <c r="E242" s="16"/>
      <c r="F242" s="71"/>
    </row>
    <row r="243" spans="4:6" ht="13.2" x14ac:dyDescent="0.25">
      <c r="D243" s="16"/>
      <c r="E243" s="16"/>
      <c r="F243" s="71"/>
    </row>
    <row r="244" spans="4:6" ht="13.2" x14ac:dyDescent="0.25">
      <c r="D244" s="16"/>
      <c r="E244" s="16"/>
      <c r="F244" s="71"/>
    </row>
    <row r="245" spans="4:6" ht="13.2" x14ac:dyDescent="0.25">
      <c r="D245" s="16"/>
      <c r="E245" s="16"/>
      <c r="F245" s="71"/>
    </row>
    <row r="246" spans="4:6" ht="13.2" x14ac:dyDescent="0.25">
      <c r="D246" s="16"/>
      <c r="E246" s="16"/>
      <c r="F246" s="71"/>
    </row>
    <row r="247" spans="4:6" ht="13.2" x14ac:dyDescent="0.25">
      <c r="D247" s="16"/>
      <c r="E247" s="16"/>
      <c r="F247" s="71"/>
    </row>
    <row r="248" spans="4:6" ht="13.2" x14ac:dyDescent="0.25">
      <c r="D248" s="16"/>
      <c r="E248" s="16"/>
      <c r="F248" s="71"/>
    </row>
    <row r="249" spans="4:6" ht="13.2" x14ac:dyDescent="0.25">
      <c r="D249" s="16"/>
      <c r="E249" s="16"/>
      <c r="F249" s="71"/>
    </row>
    <row r="250" spans="4:6" ht="13.2" x14ac:dyDescent="0.25">
      <c r="D250" s="16"/>
      <c r="E250" s="16"/>
      <c r="F250" s="71"/>
    </row>
    <row r="251" spans="4:6" ht="13.2" x14ac:dyDescent="0.25">
      <c r="D251" s="16"/>
      <c r="E251" s="16"/>
      <c r="F251" s="71"/>
    </row>
    <row r="252" spans="4:6" ht="13.2" x14ac:dyDescent="0.25">
      <c r="D252" s="16"/>
      <c r="E252" s="16"/>
      <c r="F252" s="71"/>
    </row>
    <row r="253" spans="4:6" ht="13.2" x14ac:dyDescent="0.25">
      <c r="D253" s="16"/>
      <c r="E253" s="16"/>
      <c r="F253" s="71"/>
    </row>
    <row r="254" spans="4:6" ht="13.2" x14ac:dyDescent="0.25">
      <c r="D254" s="16"/>
      <c r="E254" s="16"/>
      <c r="F254" s="71"/>
    </row>
    <row r="255" spans="4:6" ht="13.2" x14ac:dyDescent="0.25">
      <c r="D255" s="16"/>
      <c r="E255" s="16"/>
      <c r="F255" s="71"/>
    </row>
    <row r="256" spans="4:6" ht="13.2" x14ac:dyDescent="0.25">
      <c r="D256" s="16"/>
      <c r="E256" s="16"/>
      <c r="F256" s="71"/>
    </row>
    <row r="257" spans="4:6" ht="13.2" x14ac:dyDescent="0.25">
      <c r="D257" s="16"/>
      <c r="E257" s="16"/>
      <c r="F257" s="71"/>
    </row>
    <row r="258" spans="4:6" ht="13.2" x14ac:dyDescent="0.25">
      <c r="D258" s="16"/>
      <c r="E258" s="16"/>
      <c r="F258" s="71"/>
    </row>
    <row r="259" spans="4:6" ht="13.2" x14ac:dyDescent="0.25">
      <c r="D259" s="16"/>
      <c r="E259" s="16"/>
      <c r="F259" s="71"/>
    </row>
    <row r="260" spans="4:6" ht="13.2" x14ac:dyDescent="0.25">
      <c r="D260" s="16"/>
      <c r="E260" s="16"/>
      <c r="F260" s="71"/>
    </row>
    <row r="261" spans="4:6" ht="13.2" x14ac:dyDescent="0.25">
      <c r="D261" s="16"/>
      <c r="E261" s="16"/>
      <c r="F261" s="71"/>
    </row>
    <row r="262" spans="4:6" ht="13.2" x14ac:dyDescent="0.25">
      <c r="D262" s="16"/>
      <c r="E262" s="16"/>
      <c r="F262" s="71"/>
    </row>
    <row r="263" spans="4:6" ht="13.2" x14ac:dyDescent="0.25">
      <c r="D263" s="16"/>
      <c r="E263" s="16"/>
      <c r="F263" s="71"/>
    </row>
    <row r="264" spans="4:6" ht="13.2" x14ac:dyDescent="0.25">
      <c r="D264" s="16"/>
      <c r="E264" s="16"/>
      <c r="F264" s="71"/>
    </row>
    <row r="265" spans="4:6" ht="13.2" x14ac:dyDescent="0.25">
      <c r="D265" s="16"/>
      <c r="E265" s="16"/>
      <c r="F265" s="71"/>
    </row>
    <row r="266" spans="4:6" ht="13.2" x14ac:dyDescent="0.25">
      <c r="D266" s="16"/>
      <c r="E266" s="16"/>
      <c r="F266" s="71"/>
    </row>
    <row r="267" spans="4:6" ht="13.2" x14ac:dyDescent="0.25">
      <c r="D267" s="16"/>
      <c r="E267" s="16"/>
      <c r="F267" s="71"/>
    </row>
    <row r="268" spans="4:6" ht="13.2" x14ac:dyDescent="0.25">
      <c r="D268" s="16"/>
      <c r="E268" s="16"/>
      <c r="F268" s="71"/>
    </row>
    <row r="269" spans="4:6" ht="13.2" x14ac:dyDescent="0.25">
      <c r="D269" s="16"/>
      <c r="E269" s="16"/>
      <c r="F269" s="71"/>
    </row>
    <row r="270" spans="4:6" ht="13.2" x14ac:dyDescent="0.25">
      <c r="D270" s="16"/>
      <c r="E270" s="16"/>
      <c r="F270" s="71"/>
    </row>
    <row r="271" spans="4:6" ht="13.2" x14ac:dyDescent="0.25">
      <c r="D271" s="16"/>
      <c r="E271" s="16"/>
      <c r="F271" s="71"/>
    </row>
    <row r="272" spans="4:6" ht="13.2" x14ac:dyDescent="0.25">
      <c r="D272" s="16"/>
      <c r="E272" s="16"/>
      <c r="F272" s="71"/>
    </row>
    <row r="273" spans="4:6" ht="13.2" x14ac:dyDescent="0.25">
      <c r="D273" s="16"/>
      <c r="E273" s="16"/>
      <c r="F273" s="71"/>
    </row>
    <row r="274" spans="4:6" ht="13.2" x14ac:dyDescent="0.25">
      <c r="D274" s="16"/>
      <c r="E274" s="16"/>
      <c r="F274" s="71"/>
    </row>
    <row r="275" spans="4:6" ht="13.2" x14ac:dyDescent="0.25">
      <c r="D275" s="16"/>
      <c r="E275" s="16"/>
      <c r="F275" s="71"/>
    </row>
    <row r="276" spans="4:6" ht="13.2" x14ac:dyDescent="0.25">
      <c r="D276" s="16"/>
      <c r="E276" s="16"/>
      <c r="F276" s="71"/>
    </row>
    <row r="277" spans="4:6" ht="13.2" x14ac:dyDescent="0.25">
      <c r="D277" s="16"/>
      <c r="E277" s="16"/>
      <c r="F277" s="71"/>
    </row>
    <row r="278" spans="4:6" ht="13.2" x14ac:dyDescent="0.25">
      <c r="D278" s="16"/>
      <c r="E278" s="16"/>
      <c r="F278" s="71"/>
    </row>
    <row r="279" spans="4:6" ht="13.2" x14ac:dyDescent="0.25">
      <c r="D279" s="16"/>
      <c r="E279" s="16"/>
      <c r="F279" s="71"/>
    </row>
    <row r="280" spans="4:6" ht="13.2" x14ac:dyDescent="0.25">
      <c r="D280" s="16"/>
      <c r="E280" s="16"/>
      <c r="F280" s="71"/>
    </row>
    <row r="281" spans="4:6" ht="13.2" x14ac:dyDescent="0.25">
      <c r="D281" s="16"/>
      <c r="E281" s="16"/>
      <c r="F281" s="71"/>
    </row>
    <row r="282" spans="4:6" ht="13.2" x14ac:dyDescent="0.25">
      <c r="D282" s="16"/>
      <c r="E282" s="16"/>
      <c r="F282" s="71"/>
    </row>
    <row r="283" spans="4:6" ht="13.2" x14ac:dyDescent="0.25">
      <c r="D283" s="16"/>
      <c r="E283" s="16"/>
      <c r="F283" s="71"/>
    </row>
    <row r="284" spans="4:6" ht="13.2" x14ac:dyDescent="0.25">
      <c r="D284" s="16"/>
      <c r="E284" s="16"/>
      <c r="F284" s="71"/>
    </row>
    <row r="285" spans="4:6" ht="13.2" x14ac:dyDescent="0.25">
      <c r="D285" s="16"/>
      <c r="E285" s="16"/>
      <c r="F285" s="71"/>
    </row>
    <row r="286" spans="4:6" ht="13.2" x14ac:dyDescent="0.25">
      <c r="D286" s="16"/>
      <c r="E286" s="16"/>
      <c r="F286" s="71"/>
    </row>
    <row r="287" spans="4:6" ht="13.2" x14ac:dyDescent="0.25">
      <c r="D287" s="16"/>
      <c r="E287" s="16"/>
      <c r="F287" s="71"/>
    </row>
    <row r="288" spans="4:6" ht="13.2" x14ac:dyDescent="0.25">
      <c r="D288" s="16"/>
      <c r="E288" s="16"/>
      <c r="F288" s="71"/>
    </row>
    <row r="289" spans="4:6" ht="13.2" x14ac:dyDescent="0.25">
      <c r="D289" s="16"/>
      <c r="E289" s="16"/>
      <c r="F289" s="71"/>
    </row>
    <row r="290" spans="4:6" ht="13.2" x14ac:dyDescent="0.25">
      <c r="D290" s="16"/>
      <c r="E290" s="16"/>
      <c r="F290" s="71"/>
    </row>
    <row r="291" spans="4:6" ht="13.2" x14ac:dyDescent="0.25">
      <c r="D291" s="16"/>
      <c r="E291" s="16"/>
      <c r="F291" s="71"/>
    </row>
    <row r="292" spans="4:6" ht="13.2" x14ac:dyDescent="0.25">
      <c r="D292" s="16"/>
      <c r="E292" s="16"/>
      <c r="F292" s="71"/>
    </row>
    <row r="293" spans="4:6" ht="13.2" x14ac:dyDescent="0.25">
      <c r="D293" s="16"/>
      <c r="E293" s="16"/>
      <c r="F293" s="71"/>
    </row>
    <row r="294" spans="4:6" ht="13.2" x14ac:dyDescent="0.25">
      <c r="D294" s="16"/>
      <c r="E294" s="16"/>
      <c r="F294" s="71"/>
    </row>
    <row r="295" spans="4:6" ht="13.2" x14ac:dyDescent="0.25">
      <c r="D295" s="16"/>
      <c r="E295" s="16"/>
      <c r="F295" s="71"/>
    </row>
    <row r="296" spans="4:6" ht="13.2" x14ac:dyDescent="0.25">
      <c r="D296" s="16"/>
      <c r="E296" s="16"/>
      <c r="F296" s="71"/>
    </row>
    <row r="297" spans="4:6" ht="13.2" x14ac:dyDescent="0.25">
      <c r="D297" s="16"/>
      <c r="E297" s="16"/>
      <c r="F297" s="71"/>
    </row>
    <row r="298" spans="4:6" ht="13.2" x14ac:dyDescent="0.25">
      <c r="D298" s="16"/>
      <c r="E298" s="16"/>
      <c r="F298" s="71"/>
    </row>
    <row r="299" spans="4:6" ht="13.2" x14ac:dyDescent="0.25">
      <c r="D299" s="16"/>
      <c r="E299" s="16"/>
      <c r="F299" s="71"/>
    </row>
    <row r="300" spans="4:6" ht="13.2" x14ac:dyDescent="0.25">
      <c r="D300" s="16"/>
      <c r="E300" s="16"/>
      <c r="F300" s="71"/>
    </row>
    <row r="301" spans="4:6" ht="13.2" x14ac:dyDescent="0.25">
      <c r="D301" s="16"/>
      <c r="E301" s="16"/>
      <c r="F301" s="71"/>
    </row>
    <row r="302" spans="4:6" ht="13.2" x14ac:dyDescent="0.25">
      <c r="D302" s="16"/>
      <c r="E302" s="16"/>
      <c r="F302" s="71"/>
    </row>
    <row r="303" spans="4:6" ht="13.2" x14ac:dyDescent="0.25">
      <c r="D303" s="16"/>
      <c r="E303" s="16"/>
      <c r="F303" s="71"/>
    </row>
    <row r="304" spans="4:6" ht="13.2" x14ac:dyDescent="0.25">
      <c r="D304" s="16"/>
      <c r="E304" s="16"/>
      <c r="F304" s="71"/>
    </row>
    <row r="305" spans="4:6" ht="13.2" x14ac:dyDescent="0.25">
      <c r="D305" s="16"/>
      <c r="E305" s="16"/>
      <c r="F305" s="71"/>
    </row>
    <row r="306" spans="4:6" ht="13.2" x14ac:dyDescent="0.25">
      <c r="D306" s="16"/>
      <c r="E306" s="16"/>
      <c r="F306" s="71"/>
    </row>
    <row r="307" spans="4:6" ht="13.2" x14ac:dyDescent="0.25">
      <c r="D307" s="16"/>
      <c r="E307" s="16"/>
      <c r="F307" s="71"/>
    </row>
    <row r="308" spans="4:6" ht="13.2" x14ac:dyDescent="0.25">
      <c r="D308" s="16"/>
      <c r="E308" s="16"/>
      <c r="F308" s="71"/>
    </row>
    <row r="309" spans="4:6" ht="13.2" x14ac:dyDescent="0.25">
      <c r="D309" s="16"/>
      <c r="E309" s="16"/>
      <c r="F309" s="71"/>
    </row>
    <row r="310" spans="4:6" ht="13.2" x14ac:dyDescent="0.25">
      <c r="D310" s="16"/>
      <c r="E310" s="16"/>
      <c r="F310" s="71"/>
    </row>
    <row r="311" spans="4:6" ht="13.2" x14ac:dyDescent="0.25">
      <c r="D311" s="16"/>
      <c r="E311" s="16"/>
      <c r="F311" s="71"/>
    </row>
    <row r="312" spans="4:6" ht="13.2" x14ac:dyDescent="0.25">
      <c r="D312" s="16"/>
      <c r="E312" s="16"/>
      <c r="F312" s="71"/>
    </row>
    <row r="313" spans="4:6" ht="13.2" x14ac:dyDescent="0.25">
      <c r="D313" s="16"/>
      <c r="E313" s="16"/>
      <c r="F313" s="71"/>
    </row>
    <row r="314" spans="4:6" ht="13.2" x14ac:dyDescent="0.25">
      <c r="D314" s="16"/>
      <c r="E314" s="16"/>
      <c r="F314" s="71"/>
    </row>
    <row r="315" spans="4:6" ht="13.2" x14ac:dyDescent="0.25">
      <c r="D315" s="16"/>
      <c r="E315" s="16"/>
      <c r="F315" s="71"/>
    </row>
    <row r="316" spans="4:6" ht="13.2" x14ac:dyDescent="0.25">
      <c r="D316" s="16"/>
      <c r="E316" s="16"/>
      <c r="F316" s="71"/>
    </row>
    <row r="317" spans="4:6" ht="13.2" x14ac:dyDescent="0.25">
      <c r="D317" s="16"/>
      <c r="E317" s="16"/>
      <c r="F317" s="71"/>
    </row>
    <row r="318" spans="4:6" ht="13.2" x14ac:dyDescent="0.25">
      <c r="D318" s="16"/>
      <c r="E318" s="16"/>
      <c r="F318" s="71"/>
    </row>
    <row r="319" spans="4:6" ht="13.2" x14ac:dyDescent="0.25">
      <c r="D319" s="16"/>
      <c r="E319" s="16"/>
      <c r="F319" s="71"/>
    </row>
    <row r="320" spans="4:6" ht="13.2" x14ac:dyDescent="0.25">
      <c r="D320" s="16"/>
      <c r="E320" s="16"/>
      <c r="F320" s="71"/>
    </row>
    <row r="321" spans="4:6" ht="13.2" x14ac:dyDescent="0.25">
      <c r="D321" s="16"/>
      <c r="E321" s="16"/>
      <c r="F321" s="71"/>
    </row>
    <row r="322" spans="4:6" ht="13.2" x14ac:dyDescent="0.25">
      <c r="D322" s="16"/>
      <c r="E322" s="16"/>
      <c r="F322" s="71"/>
    </row>
    <row r="323" spans="4:6" ht="13.2" x14ac:dyDescent="0.25">
      <c r="D323" s="16"/>
      <c r="E323" s="16"/>
      <c r="F323" s="71"/>
    </row>
    <row r="324" spans="4:6" ht="13.2" x14ac:dyDescent="0.25">
      <c r="D324" s="16"/>
      <c r="E324" s="16"/>
      <c r="F324" s="71"/>
    </row>
    <row r="325" spans="4:6" ht="13.2" x14ac:dyDescent="0.25">
      <c r="D325" s="16"/>
      <c r="E325" s="16"/>
      <c r="F325" s="71"/>
    </row>
    <row r="326" spans="4:6" ht="13.2" x14ac:dyDescent="0.25">
      <c r="D326" s="16"/>
      <c r="E326" s="16"/>
      <c r="F326" s="71"/>
    </row>
    <row r="327" spans="4:6" ht="13.2" x14ac:dyDescent="0.25">
      <c r="D327" s="16"/>
      <c r="E327" s="16"/>
      <c r="F327" s="71"/>
    </row>
    <row r="328" spans="4:6" ht="13.2" x14ac:dyDescent="0.25">
      <c r="D328" s="16"/>
      <c r="E328" s="16"/>
      <c r="F328" s="71"/>
    </row>
    <row r="329" spans="4:6" ht="13.2" x14ac:dyDescent="0.25">
      <c r="D329" s="16"/>
      <c r="E329" s="16"/>
      <c r="F329" s="71"/>
    </row>
    <row r="330" spans="4:6" ht="13.2" x14ac:dyDescent="0.25">
      <c r="D330" s="16"/>
      <c r="E330" s="16"/>
      <c r="F330" s="71"/>
    </row>
    <row r="331" spans="4:6" ht="13.2" x14ac:dyDescent="0.25">
      <c r="D331" s="16"/>
      <c r="E331" s="16"/>
      <c r="F331" s="71"/>
    </row>
    <row r="332" spans="4:6" ht="13.2" x14ac:dyDescent="0.25">
      <c r="D332" s="16"/>
      <c r="E332" s="16"/>
      <c r="F332" s="71"/>
    </row>
    <row r="333" spans="4:6" ht="13.2" x14ac:dyDescent="0.25">
      <c r="D333" s="16"/>
      <c r="E333" s="16"/>
      <c r="F333" s="71"/>
    </row>
    <row r="334" spans="4:6" ht="13.2" x14ac:dyDescent="0.25">
      <c r="D334" s="16"/>
      <c r="E334" s="16"/>
      <c r="F334" s="71"/>
    </row>
    <row r="335" spans="4:6" ht="13.2" x14ac:dyDescent="0.25">
      <c r="D335" s="16"/>
      <c r="E335" s="16"/>
      <c r="F335" s="71"/>
    </row>
    <row r="336" spans="4:6" ht="13.2" x14ac:dyDescent="0.25">
      <c r="D336" s="16"/>
      <c r="E336" s="16"/>
      <c r="F336" s="71"/>
    </row>
    <row r="337" spans="4:6" ht="13.2" x14ac:dyDescent="0.25">
      <c r="D337" s="16"/>
      <c r="E337" s="16"/>
      <c r="F337" s="71"/>
    </row>
    <row r="338" spans="4:6" ht="13.2" x14ac:dyDescent="0.25">
      <c r="D338" s="16"/>
      <c r="E338" s="16"/>
      <c r="F338" s="71"/>
    </row>
    <row r="339" spans="4:6" ht="13.2" x14ac:dyDescent="0.25">
      <c r="D339" s="16"/>
      <c r="E339" s="16"/>
      <c r="F339" s="71"/>
    </row>
    <row r="340" spans="4:6" ht="13.2" x14ac:dyDescent="0.25">
      <c r="D340" s="16"/>
      <c r="E340" s="16"/>
      <c r="F340" s="71"/>
    </row>
    <row r="341" spans="4:6" ht="13.2" x14ac:dyDescent="0.25">
      <c r="D341" s="16"/>
      <c r="E341" s="16"/>
      <c r="F341" s="71"/>
    </row>
    <row r="342" spans="4:6" ht="13.2" x14ac:dyDescent="0.25">
      <c r="D342" s="16"/>
      <c r="E342" s="16"/>
      <c r="F342" s="71"/>
    </row>
    <row r="343" spans="4:6" ht="13.2" x14ac:dyDescent="0.25">
      <c r="D343" s="16"/>
      <c r="E343" s="16"/>
      <c r="F343" s="71"/>
    </row>
    <row r="344" spans="4:6" ht="13.2" x14ac:dyDescent="0.25">
      <c r="D344" s="16"/>
      <c r="E344" s="16"/>
      <c r="F344" s="71"/>
    </row>
    <row r="345" spans="4:6" ht="13.2" x14ac:dyDescent="0.25">
      <c r="D345" s="16"/>
      <c r="E345" s="16"/>
      <c r="F345" s="71"/>
    </row>
    <row r="346" spans="4:6" ht="13.2" x14ac:dyDescent="0.25">
      <c r="D346" s="16"/>
      <c r="E346" s="16"/>
      <c r="F346" s="71"/>
    </row>
    <row r="347" spans="4:6" ht="13.2" x14ac:dyDescent="0.25">
      <c r="D347" s="16"/>
      <c r="E347" s="16"/>
      <c r="F347" s="71"/>
    </row>
    <row r="348" spans="4:6" ht="13.2" x14ac:dyDescent="0.25">
      <c r="D348" s="16"/>
      <c r="E348" s="16"/>
      <c r="F348" s="71"/>
    </row>
    <row r="349" spans="4:6" ht="13.2" x14ac:dyDescent="0.25">
      <c r="D349" s="16"/>
      <c r="E349" s="16"/>
      <c r="F349" s="71"/>
    </row>
    <row r="350" spans="4:6" ht="13.2" x14ac:dyDescent="0.25">
      <c r="D350" s="16"/>
      <c r="E350" s="16"/>
      <c r="F350" s="71"/>
    </row>
    <row r="351" spans="4:6" ht="13.2" x14ac:dyDescent="0.25">
      <c r="D351" s="16"/>
      <c r="E351" s="16"/>
      <c r="F351" s="71"/>
    </row>
    <row r="352" spans="4:6" ht="13.2" x14ac:dyDescent="0.25">
      <c r="D352" s="16"/>
      <c r="E352" s="16"/>
      <c r="F352" s="71"/>
    </row>
    <row r="353" spans="4:6" ht="13.2" x14ac:dyDescent="0.25">
      <c r="D353" s="16"/>
      <c r="E353" s="16"/>
      <c r="F353" s="71"/>
    </row>
    <row r="354" spans="4:6" ht="13.2" x14ac:dyDescent="0.25">
      <c r="D354" s="16"/>
      <c r="E354" s="16"/>
      <c r="F354" s="71"/>
    </row>
    <row r="355" spans="4:6" ht="13.2" x14ac:dyDescent="0.25">
      <c r="D355" s="16"/>
      <c r="E355" s="16"/>
      <c r="F355" s="71"/>
    </row>
    <row r="356" spans="4:6" ht="13.2" x14ac:dyDescent="0.25">
      <c r="D356" s="16"/>
      <c r="E356" s="16"/>
      <c r="F356" s="71"/>
    </row>
    <row r="357" spans="4:6" ht="13.2" x14ac:dyDescent="0.25">
      <c r="D357" s="16"/>
      <c r="E357" s="16"/>
      <c r="F357" s="71"/>
    </row>
    <row r="358" spans="4:6" ht="13.2" x14ac:dyDescent="0.25">
      <c r="D358" s="16"/>
      <c r="E358" s="16"/>
      <c r="F358" s="71"/>
    </row>
    <row r="359" spans="4:6" ht="13.2" x14ac:dyDescent="0.25">
      <c r="D359" s="16"/>
      <c r="E359" s="16"/>
      <c r="F359" s="71"/>
    </row>
    <row r="360" spans="4:6" ht="13.2" x14ac:dyDescent="0.25">
      <c r="D360" s="16"/>
      <c r="E360" s="16"/>
      <c r="F360" s="71"/>
    </row>
    <row r="361" spans="4:6" ht="13.2" x14ac:dyDescent="0.25">
      <c r="D361" s="16"/>
      <c r="E361" s="16"/>
      <c r="F361" s="71"/>
    </row>
    <row r="362" spans="4:6" ht="13.2" x14ac:dyDescent="0.25">
      <c r="D362" s="16"/>
      <c r="E362" s="16"/>
      <c r="F362" s="71"/>
    </row>
    <row r="363" spans="4:6" ht="13.2" x14ac:dyDescent="0.25">
      <c r="D363" s="16"/>
      <c r="E363" s="16"/>
      <c r="F363" s="71"/>
    </row>
    <row r="364" spans="4:6" ht="13.2" x14ac:dyDescent="0.25">
      <c r="D364" s="16"/>
      <c r="E364" s="16"/>
      <c r="F364" s="71"/>
    </row>
    <row r="365" spans="4:6" ht="13.2" x14ac:dyDescent="0.25">
      <c r="D365" s="16"/>
      <c r="E365" s="16"/>
      <c r="F365" s="71"/>
    </row>
    <row r="366" spans="4:6" ht="13.2" x14ac:dyDescent="0.25">
      <c r="D366" s="16"/>
      <c r="E366" s="16"/>
      <c r="F366" s="71"/>
    </row>
    <row r="367" spans="4:6" ht="13.2" x14ac:dyDescent="0.25">
      <c r="D367" s="16"/>
      <c r="E367" s="16"/>
      <c r="F367" s="71"/>
    </row>
    <row r="368" spans="4:6" ht="13.2" x14ac:dyDescent="0.25">
      <c r="D368" s="16"/>
      <c r="E368" s="16"/>
      <c r="F368" s="71"/>
    </row>
    <row r="369" spans="4:6" ht="13.2" x14ac:dyDescent="0.25">
      <c r="D369" s="16"/>
      <c r="E369" s="16"/>
      <c r="F369" s="71"/>
    </row>
    <row r="370" spans="4:6" ht="13.2" x14ac:dyDescent="0.25">
      <c r="D370" s="16"/>
      <c r="E370" s="16"/>
      <c r="F370" s="71"/>
    </row>
    <row r="371" spans="4:6" ht="13.2" x14ac:dyDescent="0.25">
      <c r="D371" s="16"/>
      <c r="E371" s="16"/>
      <c r="F371" s="71"/>
    </row>
    <row r="372" spans="4:6" ht="13.2" x14ac:dyDescent="0.25">
      <c r="D372" s="16"/>
      <c r="E372" s="16"/>
      <c r="F372" s="71"/>
    </row>
    <row r="373" spans="4:6" ht="13.2" x14ac:dyDescent="0.25">
      <c r="D373" s="16"/>
      <c r="E373" s="16"/>
      <c r="F373" s="71"/>
    </row>
    <row r="374" spans="4:6" ht="13.2" x14ac:dyDescent="0.25">
      <c r="D374" s="16"/>
      <c r="E374" s="16"/>
      <c r="F374" s="71"/>
    </row>
    <row r="375" spans="4:6" ht="13.2" x14ac:dyDescent="0.25">
      <c r="D375" s="16"/>
      <c r="E375" s="16"/>
      <c r="F375" s="71"/>
    </row>
    <row r="376" spans="4:6" ht="13.2" x14ac:dyDescent="0.25">
      <c r="D376" s="16"/>
      <c r="E376" s="16"/>
      <c r="F376" s="71"/>
    </row>
    <row r="377" spans="4:6" ht="13.2" x14ac:dyDescent="0.25">
      <c r="D377" s="16"/>
      <c r="E377" s="16"/>
      <c r="F377" s="71"/>
    </row>
    <row r="378" spans="4:6" ht="13.2" x14ac:dyDescent="0.25">
      <c r="D378" s="16"/>
      <c r="E378" s="16"/>
      <c r="F378" s="71"/>
    </row>
    <row r="379" spans="4:6" ht="13.2" x14ac:dyDescent="0.25">
      <c r="D379" s="16"/>
      <c r="E379" s="16"/>
      <c r="F379" s="71"/>
    </row>
    <row r="380" spans="4:6" ht="13.2" x14ac:dyDescent="0.25">
      <c r="D380" s="16"/>
      <c r="E380" s="16"/>
      <c r="F380" s="71"/>
    </row>
    <row r="381" spans="4:6" ht="13.2" x14ac:dyDescent="0.25">
      <c r="D381" s="16"/>
      <c r="E381" s="16"/>
      <c r="F381" s="71"/>
    </row>
    <row r="382" spans="4:6" ht="13.2" x14ac:dyDescent="0.25">
      <c r="D382" s="16"/>
      <c r="E382" s="16"/>
      <c r="F382" s="71"/>
    </row>
    <row r="383" spans="4:6" ht="13.2" x14ac:dyDescent="0.25">
      <c r="D383" s="16"/>
      <c r="E383" s="16"/>
      <c r="F383" s="71"/>
    </row>
    <row r="384" spans="4:6" ht="13.2" x14ac:dyDescent="0.25">
      <c r="D384" s="16"/>
      <c r="E384" s="16"/>
      <c r="F384" s="71"/>
    </row>
    <row r="385" spans="4:6" ht="13.2" x14ac:dyDescent="0.25">
      <c r="D385" s="16"/>
      <c r="E385" s="16"/>
      <c r="F385" s="71"/>
    </row>
    <row r="386" spans="4:6" ht="13.2" x14ac:dyDescent="0.25">
      <c r="D386" s="16"/>
      <c r="E386" s="16"/>
      <c r="F386" s="71"/>
    </row>
    <row r="387" spans="4:6" ht="13.2" x14ac:dyDescent="0.25">
      <c r="D387" s="16"/>
      <c r="E387" s="16"/>
      <c r="F387" s="71"/>
    </row>
    <row r="388" spans="4:6" ht="13.2" x14ac:dyDescent="0.25">
      <c r="D388" s="16"/>
      <c r="E388" s="16"/>
      <c r="F388" s="71"/>
    </row>
    <row r="389" spans="4:6" ht="13.2" x14ac:dyDescent="0.25">
      <c r="D389" s="16"/>
      <c r="E389" s="16"/>
      <c r="F389" s="71"/>
    </row>
    <row r="390" spans="4:6" ht="13.2" x14ac:dyDescent="0.25">
      <c r="D390" s="16"/>
      <c r="E390" s="16"/>
      <c r="F390" s="71"/>
    </row>
    <row r="391" spans="4:6" ht="13.2" x14ac:dyDescent="0.25">
      <c r="D391" s="16"/>
      <c r="E391" s="16"/>
      <c r="F391" s="71"/>
    </row>
    <row r="392" spans="4:6" ht="13.2" x14ac:dyDescent="0.25">
      <c r="D392" s="16"/>
      <c r="E392" s="16"/>
      <c r="F392" s="71"/>
    </row>
    <row r="393" spans="4:6" ht="13.2" x14ac:dyDescent="0.25">
      <c r="D393" s="16"/>
      <c r="E393" s="16"/>
      <c r="F393" s="71"/>
    </row>
    <row r="394" spans="4:6" ht="13.2" x14ac:dyDescent="0.25">
      <c r="D394" s="16"/>
      <c r="E394" s="16"/>
      <c r="F394" s="71"/>
    </row>
    <row r="395" spans="4:6" ht="13.2" x14ac:dyDescent="0.25">
      <c r="D395" s="16"/>
      <c r="E395" s="16"/>
      <c r="F395" s="71"/>
    </row>
    <row r="396" spans="4:6" ht="13.2" x14ac:dyDescent="0.25">
      <c r="D396" s="16"/>
      <c r="E396" s="16"/>
      <c r="F396" s="71"/>
    </row>
    <row r="397" spans="4:6" ht="13.2" x14ac:dyDescent="0.25">
      <c r="D397" s="16"/>
      <c r="E397" s="16"/>
      <c r="F397" s="71"/>
    </row>
    <row r="398" spans="4:6" ht="13.2" x14ac:dyDescent="0.25">
      <c r="D398" s="16"/>
      <c r="E398" s="16"/>
      <c r="F398" s="71"/>
    </row>
    <row r="399" spans="4:6" ht="13.2" x14ac:dyDescent="0.25">
      <c r="D399" s="16"/>
      <c r="E399" s="16"/>
      <c r="F399" s="71"/>
    </row>
    <row r="400" spans="4:6" ht="13.2" x14ac:dyDescent="0.25">
      <c r="D400" s="16"/>
      <c r="E400" s="16"/>
      <c r="F400" s="71"/>
    </row>
    <row r="401" spans="4:6" ht="13.2" x14ac:dyDescent="0.25">
      <c r="D401" s="16"/>
      <c r="E401" s="16"/>
      <c r="F401" s="71"/>
    </row>
    <row r="402" spans="4:6" ht="13.2" x14ac:dyDescent="0.25">
      <c r="D402" s="16"/>
      <c r="E402" s="16"/>
      <c r="F402" s="71"/>
    </row>
    <row r="403" spans="4:6" ht="13.2" x14ac:dyDescent="0.25">
      <c r="D403" s="16"/>
      <c r="E403" s="16"/>
      <c r="F403" s="71"/>
    </row>
    <row r="404" spans="4:6" ht="13.2" x14ac:dyDescent="0.25">
      <c r="D404" s="16"/>
      <c r="E404" s="16"/>
      <c r="F404" s="71"/>
    </row>
    <row r="405" spans="4:6" ht="13.2" x14ac:dyDescent="0.25">
      <c r="D405" s="16"/>
      <c r="E405" s="16"/>
      <c r="F405" s="71"/>
    </row>
    <row r="406" spans="4:6" ht="13.2" x14ac:dyDescent="0.25">
      <c r="D406" s="16"/>
      <c r="E406" s="16"/>
      <c r="F406" s="71"/>
    </row>
    <row r="407" spans="4:6" ht="13.2" x14ac:dyDescent="0.25">
      <c r="D407" s="16"/>
      <c r="E407" s="16"/>
      <c r="F407" s="71"/>
    </row>
    <row r="408" spans="4:6" ht="13.2" x14ac:dyDescent="0.25">
      <c r="D408" s="16"/>
      <c r="E408" s="16"/>
      <c r="F408" s="71"/>
    </row>
    <row r="409" spans="4:6" ht="13.2" x14ac:dyDescent="0.25">
      <c r="D409" s="16"/>
      <c r="E409" s="16"/>
      <c r="F409" s="71"/>
    </row>
    <row r="410" spans="4:6" ht="13.2" x14ac:dyDescent="0.25">
      <c r="D410" s="16"/>
      <c r="E410" s="16"/>
      <c r="F410" s="71"/>
    </row>
    <row r="411" spans="4:6" ht="13.2" x14ac:dyDescent="0.25">
      <c r="D411" s="16"/>
      <c r="E411" s="16"/>
      <c r="F411" s="71"/>
    </row>
    <row r="412" spans="4:6" ht="13.2" x14ac:dyDescent="0.25">
      <c r="D412" s="16"/>
      <c r="E412" s="16"/>
      <c r="F412" s="71"/>
    </row>
    <row r="413" spans="4:6" ht="13.2" x14ac:dyDescent="0.25">
      <c r="D413" s="16"/>
      <c r="E413" s="16"/>
      <c r="F413" s="71"/>
    </row>
    <row r="414" spans="4:6" ht="13.2" x14ac:dyDescent="0.25">
      <c r="D414" s="16"/>
      <c r="E414" s="16"/>
      <c r="F414" s="71"/>
    </row>
    <row r="415" spans="4:6" ht="13.2" x14ac:dyDescent="0.25">
      <c r="D415" s="16"/>
      <c r="E415" s="16"/>
      <c r="F415" s="71"/>
    </row>
    <row r="416" spans="4:6" ht="13.2" x14ac:dyDescent="0.25">
      <c r="D416" s="16"/>
      <c r="E416" s="16"/>
      <c r="F416" s="71"/>
    </row>
    <row r="417" spans="4:6" ht="13.2" x14ac:dyDescent="0.25">
      <c r="D417" s="16"/>
      <c r="E417" s="16"/>
      <c r="F417" s="71"/>
    </row>
    <row r="418" spans="4:6" ht="13.2" x14ac:dyDescent="0.25">
      <c r="D418" s="16"/>
      <c r="E418" s="16"/>
      <c r="F418" s="71"/>
    </row>
    <row r="419" spans="4:6" ht="13.2" x14ac:dyDescent="0.25">
      <c r="D419" s="16"/>
      <c r="E419" s="16"/>
      <c r="F419" s="71"/>
    </row>
    <row r="420" spans="4:6" ht="13.2" x14ac:dyDescent="0.25">
      <c r="D420" s="16"/>
      <c r="E420" s="16"/>
      <c r="F420" s="71"/>
    </row>
    <row r="421" spans="4:6" ht="13.2" x14ac:dyDescent="0.25">
      <c r="D421" s="16"/>
      <c r="E421" s="16"/>
      <c r="F421" s="71"/>
    </row>
    <row r="422" spans="4:6" ht="13.2" x14ac:dyDescent="0.25">
      <c r="D422" s="16"/>
      <c r="E422" s="16"/>
      <c r="F422" s="71"/>
    </row>
    <row r="423" spans="4:6" ht="13.2" x14ac:dyDescent="0.25">
      <c r="D423" s="16"/>
      <c r="E423" s="16"/>
      <c r="F423" s="71"/>
    </row>
    <row r="424" spans="4:6" ht="13.2" x14ac:dyDescent="0.25">
      <c r="D424" s="16"/>
      <c r="E424" s="16"/>
      <c r="F424" s="71"/>
    </row>
    <row r="425" spans="4:6" ht="13.2" x14ac:dyDescent="0.25">
      <c r="D425" s="16"/>
      <c r="E425" s="16"/>
      <c r="F425" s="71"/>
    </row>
    <row r="426" spans="4:6" ht="13.2" x14ac:dyDescent="0.25">
      <c r="D426" s="16"/>
      <c r="E426" s="16"/>
      <c r="F426" s="71"/>
    </row>
    <row r="427" spans="4:6" ht="13.2" x14ac:dyDescent="0.25">
      <c r="D427" s="16"/>
      <c r="E427" s="16"/>
      <c r="F427" s="71"/>
    </row>
    <row r="428" spans="4:6" ht="13.2" x14ac:dyDescent="0.25">
      <c r="D428" s="16"/>
      <c r="E428" s="16"/>
      <c r="F428" s="71"/>
    </row>
    <row r="429" spans="4:6" ht="13.2" x14ac:dyDescent="0.25">
      <c r="D429" s="16"/>
      <c r="E429" s="16"/>
      <c r="F429" s="71"/>
    </row>
    <row r="430" spans="4:6" ht="13.2" x14ac:dyDescent="0.25">
      <c r="D430" s="16"/>
      <c r="E430" s="16"/>
      <c r="F430" s="71"/>
    </row>
    <row r="431" spans="4:6" ht="13.2" x14ac:dyDescent="0.25">
      <c r="D431" s="16"/>
      <c r="E431" s="16"/>
      <c r="F431" s="71"/>
    </row>
    <row r="432" spans="4:6" ht="13.2" x14ac:dyDescent="0.25">
      <c r="D432" s="16"/>
      <c r="E432" s="16"/>
      <c r="F432" s="71"/>
    </row>
    <row r="433" spans="4:6" ht="13.2" x14ac:dyDescent="0.25">
      <c r="D433" s="16"/>
      <c r="E433" s="16"/>
      <c r="F433" s="71"/>
    </row>
    <row r="434" spans="4:6" ht="13.2" x14ac:dyDescent="0.25">
      <c r="D434" s="16"/>
      <c r="E434" s="16"/>
      <c r="F434" s="71"/>
    </row>
    <row r="435" spans="4:6" ht="13.2" x14ac:dyDescent="0.25">
      <c r="D435" s="16"/>
      <c r="E435" s="16"/>
      <c r="F435" s="71"/>
    </row>
    <row r="436" spans="4:6" ht="13.2" x14ac:dyDescent="0.25">
      <c r="D436" s="16"/>
      <c r="E436" s="16"/>
      <c r="F436" s="71"/>
    </row>
    <row r="437" spans="4:6" ht="13.2" x14ac:dyDescent="0.25">
      <c r="D437" s="16"/>
      <c r="E437" s="16"/>
      <c r="F437" s="71"/>
    </row>
    <row r="438" spans="4:6" ht="13.2" x14ac:dyDescent="0.25">
      <c r="D438" s="16"/>
      <c r="E438" s="16"/>
      <c r="F438" s="71"/>
    </row>
    <row r="439" spans="4:6" ht="13.2" x14ac:dyDescent="0.25">
      <c r="D439" s="16"/>
      <c r="E439" s="16"/>
      <c r="F439" s="71"/>
    </row>
    <row r="440" spans="4:6" ht="13.2" x14ac:dyDescent="0.25">
      <c r="D440" s="16"/>
      <c r="E440" s="16"/>
      <c r="F440" s="71"/>
    </row>
    <row r="441" spans="4:6" ht="13.2" x14ac:dyDescent="0.25">
      <c r="D441" s="16"/>
      <c r="E441" s="16"/>
      <c r="F441" s="71"/>
    </row>
    <row r="442" spans="4:6" ht="13.2" x14ac:dyDescent="0.25">
      <c r="D442" s="16"/>
      <c r="E442" s="16"/>
      <c r="F442" s="71"/>
    </row>
    <row r="443" spans="4:6" ht="13.2" x14ac:dyDescent="0.25">
      <c r="D443" s="16"/>
      <c r="E443" s="16"/>
      <c r="F443" s="71"/>
    </row>
    <row r="444" spans="4:6" ht="13.2" x14ac:dyDescent="0.25">
      <c r="D444" s="16"/>
      <c r="E444" s="16"/>
      <c r="F444" s="71"/>
    </row>
    <row r="445" spans="4:6" ht="13.2" x14ac:dyDescent="0.25">
      <c r="D445" s="16"/>
      <c r="E445" s="16"/>
      <c r="F445" s="71"/>
    </row>
    <row r="446" spans="4:6" ht="13.2" x14ac:dyDescent="0.25">
      <c r="D446" s="16"/>
      <c r="E446" s="16"/>
      <c r="F446" s="71"/>
    </row>
    <row r="447" spans="4:6" ht="13.2" x14ac:dyDescent="0.25">
      <c r="D447" s="16"/>
      <c r="E447" s="16"/>
      <c r="F447" s="71"/>
    </row>
    <row r="448" spans="4:6" ht="13.2" x14ac:dyDescent="0.25">
      <c r="D448" s="16"/>
      <c r="E448" s="16"/>
      <c r="F448" s="71"/>
    </row>
    <row r="449" spans="4:6" ht="13.2" x14ac:dyDescent="0.25">
      <c r="D449" s="16"/>
      <c r="E449" s="16"/>
      <c r="F449" s="71"/>
    </row>
    <row r="450" spans="4:6" ht="13.2" x14ac:dyDescent="0.25">
      <c r="D450" s="16"/>
      <c r="E450" s="16"/>
      <c r="F450" s="71"/>
    </row>
    <row r="451" spans="4:6" ht="13.2" x14ac:dyDescent="0.25">
      <c r="D451" s="16"/>
      <c r="E451" s="16"/>
      <c r="F451" s="71"/>
    </row>
    <row r="452" spans="4:6" ht="13.2" x14ac:dyDescent="0.25">
      <c r="D452" s="16"/>
      <c r="E452" s="16"/>
      <c r="F452" s="71"/>
    </row>
    <row r="453" spans="4:6" ht="13.2" x14ac:dyDescent="0.25">
      <c r="D453" s="16"/>
      <c r="E453" s="16"/>
      <c r="F453" s="71"/>
    </row>
    <row r="454" spans="4:6" ht="13.2" x14ac:dyDescent="0.25">
      <c r="D454" s="16"/>
      <c r="E454" s="16"/>
      <c r="F454" s="71"/>
    </row>
    <row r="455" spans="4:6" ht="13.2" x14ac:dyDescent="0.25">
      <c r="D455" s="16"/>
      <c r="E455" s="16"/>
      <c r="F455" s="71"/>
    </row>
    <row r="456" spans="4:6" ht="13.2" x14ac:dyDescent="0.25">
      <c r="D456" s="16"/>
      <c r="E456" s="16"/>
      <c r="F456" s="71"/>
    </row>
    <row r="457" spans="4:6" ht="13.2" x14ac:dyDescent="0.25">
      <c r="D457" s="16"/>
      <c r="E457" s="16"/>
      <c r="F457" s="71"/>
    </row>
    <row r="458" spans="4:6" ht="13.2" x14ac:dyDescent="0.25">
      <c r="D458" s="16"/>
      <c r="E458" s="16"/>
      <c r="F458" s="71"/>
    </row>
    <row r="459" spans="4:6" ht="13.2" x14ac:dyDescent="0.25">
      <c r="D459" s="16"/>
      <c r="E459" s="16"/>
      <c r="F459" s="71"/>
    </row>
    <row r="460" spans="4:6" ht="13.2" x14ac:dyDescent="0.25">
      <c r="D460" s="16"/>
      <c r="E460" s="16"/>
      <c r="F460" s="71"/>
    </row>
    <row r="461" spans="4:6" ht="13.2" x14ac:dyDescent="0.25">
      <c r="D461" s="16"/>
      <c r="E461" s="16"/>
      <c r="F461" s="71"/>
    </row>
    <row r="462" spans="4:6" ht="13.2" x14ac:dyDescent="0.25">
      <c r="D462" s="16"/>
      <c r="E462" s="16"/>
      <c r="F462" s="71"/>
    </row>
    <row r="463" spans="4:6" ht="13.2" x14ac:dyDescent="0.25">
      <c r="D463" s="16"/>
      <c r="E463" s="16"/>
      <c r="F463" s="71"/>
    </row>
    <row r="464" spans="4:6" ht="13.2" x14ac:dyDescent="0.25">
      <c r="D464" s="16"/>
      <c r="E464" s="16"/>
      <c r="F464" s="71"/>
    </row>
    <row r="465" spans="4:6" ht="13.2" x14ac:dyDescent="0.25">
      <c r="D465" s="16"/>
      <c r="E465" s="16"/>
      <c r="F465" s="71"/>
    </row>
    <row r="466" spans="4:6" ht="13.2" x14ac:dyDescent="0.25">
      <c r="D466" s="16"/>
      <c r="E466" s="16"/>
      <c r="F466" s="71"/>
    </row>
    <row r="467" spans="4:6" ht="13.2" x14ac:dyDescent="0.25">
      <c r="D467" s="16"/>
      <c r="E467" s="16"/>
      <c r="F467" s="71"/>
    </row>
    <row r="468" spans="4:6" ht="13.2" x14ac:dyDescent="0.25">
      <c r="D468" s="16"/>
      <c r="E468" s="16"/>
      <c r="F468" s="71"/>
    </row>
    <row r="469" spans="4:6" ht="13.2" x14ac:dyDescent="0.25">
      <c r="D469" s="16"/>
      <c r="E469" s="16"/>
      <c r="F469" s="71"/>
    </row>
    <row r="470" spans="4:6" ht="13.2" x14ac:dyDescent="0.25">
      <c r="D470" s="16"/>
      <c r="E470" s="16"/>
      <c r="F470" s="71"/>
    </row>
    <row r="471" spans="4:6" ht="13.2" x14ac:dyDescent="0.25">
      <c r="D471" s="16"/>
      <c r="E471" s="16"/>
      <c r="F471" s="71"/>
    </row>
    <row r="472" spans="4:6" ht="13.2" x14ac:dyDescent="0.25">
      <c r="D472" s="16"/>
      <c r="E472" s="16"/>
      <c r="F472" s="71"/>
    </row>
    <row r="473" spans="4:6" ht="13.2" x14ac:dyDescent="0.25">
      <c r="D473" s="16"/>
      <c r="E473" s="16"/>
      <c r="F473" s="71"/>
    </row>
    <row r="474" spans="4:6" ht="13.2" x14ac:dyDescent="0.25">
      <c r="D474" s="16"/>
      <c r="E474" s="16"/>
      <c r="F474" s="71"/>
    </row>
    <row r="475" spans="4:6" ht="13.2" x14ac:dyDescent="0.25">
      <c r="D475" s="16"/>
      <c r="E475" s="16"/>
      <c r="F475" s="71"/>
    </row>
    <row r="476" spans="4:6" ht="13.2" x14ac:dyDescent="0.25">
      <c r="D476" s="16"/>
      <c r="E476" s="16"/>
      <c r="F476" s="71"/>
    </row>
    <row r="477" spans="4:6" ht="13.2" x14ac:dyDescent="0.25">
      <c r="D477" s="16"/>
      <c r="E477" s="16"/>
      <c r="F477" s="71"/>
    </row>
    <row r="478" spans="4:6" ht="13.2" x14ac:dyDescent="0.25">
      <c r="D478" s="16"/>
      <c r="E478" s="16"/>
      <c r="F478" s="71"/>
    </row>
    <row r="479" spans="4:6" ht="13.2" x14ac:dyDescent="0.25">
      <c r="D479" s="16"/>
      <c r="E479" s="16"/>
      <c r="F479" s="71"/>
    </row>
    <row r="480" spans="4:6" ht="13.2" x14ac:dyDescent="0.25">
      <c r="D480" s="16"/>
      <c r="E480" s="16"/>
      <c r="F480" s="71"/>
    </row>
    <row r="481" spans="4:6" ht="13.2" x14ac:dyDescent="0.25">
      <c r="D481" s="16"/>
      <c r="E481" s="16"/>
      <c r="F481" s="71"/>
    </row>
    <row r="482" spans="4:6" ht="13.2" x14ac:dyDescent="0.25">
      <c r="D482" s="16"/>
      <c r="E482" s="16"/>
      <c r="F482" s="71"/>
    </row>
    <row r="483" spans="4:6" ht="13.2" x14ac:dyDescent="0.25">
      <c r="D483" s="16"/>
      <c r="E483" s="16"/>
      <c r="F483" s="71"/>
    </row>
    <row r="484" spans="4:6" ht="13.2" x14ac:dyDescent="0.25">
      <c r="D484" s="16"/>
      <c r="E484" s="16"/>
      <c r="F484" s="71"/>
    </row>
    <row r="485" spans="4:6" ht="13.2" x14ac:dyDescent="0.25">
      <c r="D485" s="16"/>
      <c r="E485" s="16"/>
      <c r="F485" s="71"/>
    </row>
    <row r="486" spans="4:6" ht="13.2" x14ac:dyDescent="0.25">
      <c r="D486" s="16"/>
      <c r="E486" s="16"/>
      <c r="F486" s="71"/>
    </row>
    <row r="487" spans="4:6" ht="13.2" x14ac:dyDescent="0.25">
      <c r="D487" s="16"/>
      <c r="E487" s="16"/>
      <c r="F487" s="71"/>
    </row>
    <row r="488" spans="4:6" ht="13.2" x14ac:dyDescent="0.25">
      <c r="D488" s="16"/>
      <c r="E488" s="16"/>
      <c r="F488" s="71"/>
    </row>
    <row r="489" spans="4:6" ht="13.2" x14ac:dyDescent="0.25">
      <c r="D489" s="16"/>
      <c r="E489" s="16"/>
      <c r="F489" s="71"/>
    </row>
    <row r="490" spans="4:6" ht="13.2" x14ac:dyDescent="0.25">
      <c r="D490" s="16"/>
      <c r="E490" s="16"/>
      <c r="F490" s="71"/>
    </row>
    <row r="491" spans="4:6" ht="13.2" x14ac:dyDescent="0.25">
      <c r="D491" s="16"/>
      <c r="E491" s="16"/>
      <c r="F491" s="71"/>
    </row>
    <row r="492" spans="4:6" ht="13.2" x14ac:dyDescent="0.25">
      <c r="D492" s="16"/>
      <c r="E492" s="16"/>
      <c r="F492" s="71"/>
    </row>
    <row r="493" spans="4:6" ht="13.2" x14ac:dyDescent="0.25">
      <c r="D493" s="16"/>
      <c r="E493" s="16"/>
      <c r="F493" s="71"/>
    </row>
    <row r="494" spans="4:6" ht="13.2" x14ac:dyDescent="0.25">
      <c r="D494" s="16"/>
      <c r="E494" s="16"/>
      <c r="F494" s="71"/>
    </row>
    <row r="495" spans="4:6" ht="13.2" x14ac:dyDescent="0.25">
      <c r="D495" s="16"/>
      <c r="E495" s="16"/>
      <c r="F495" s="71"/>
    </row>
    <row r="496" spans="4:6" ht="13.2" x14ac:dyDescent="0.25">
      <c r="D496" s="16"/>
      <c r="E496" s="16"/>
      <c r="F496" s="71"/>
    </row>
    <row r="497" spans="4:6" ht="13.2" x14ac:dyDescent="0.25">
      <c r="D497" s="16"/>
      <c r="E497" s="16"/>
      <c r="F497" s="71"/>
    </row>
    <row r="498" spans="4:6" ht="13.2" x14ac:dyDescent="0.25">
      <c r="D498" s="16"/>
      <c r="E498" s="16"/>
      <c r="F498" s="71"/>
    </row>
    <row r="499" spans="4:6" ht="13.2" x14ac:dyDescent="0.25">
      <c r="D499" s="16"/>
      <c r="E499" s="16"/>
      <c r="F499" s="71"/>
    </row>
    <row r="500" spans="4:6" ht="13.2" x14ac:dyDescent="0.25">
      <c r="D500" s="16"/>
      <c r="E500" s="16"/>
      <c r="F500" s="71"/>
    </row>
    <row r="501" spans="4:6" ht="13.2" x14ac:dyDescent="0.25">
      <c r="D501" s="16"/>
      <c r="E501" s="16"/>
      <c r="F501" s="71"/>
    </row>
    <row r="502" spans="4:6" ht="13.2" x14ac:dyDescent="0.25">
      <c r="D502" s="16"/>
      <c r="E502" s="16"/>
      <c r="F502" s="71"/>
    </row>
    <row r="503" spans="4:6" ht="13.2" x14ac:dyDescent="0.25">
      <c r="D503" s="16"/>
      <c r="E503" s="16"/>
      <c r="F503" s="71"/>
    </row>
    <row r="504" spans="4:6" ht="13.2" x14ac:dyDescent="0.25">
      <c r="D504" s="16"/>
      <c r="E504" s="16"/>
      <c r="F504" s="71"/>
    </row>
    <row r="505" spans="4:6" ht="13.2" x14ac:dyDescent="0.25">
      <c r="D505" s="16"/>
      <c r="E505" s="16"/>
      <c r="F505" s="71"/>
    </row>
    <row r="506" spans="4:6" ht="13.2" x14ac:dyDescent="0.25">
      <c r="D506" s="16"/>
      <c r="E506" s="16"/>
      <c r="F506" s="71"/>
    </row>
    <row r="507" spans="4:6" ht="13.2" x14ac:dyDescent="0.25">
      <c r="D507" s="16"/>
      <c r="E507" s="16"/>
      <c r="F507" s="71"/>
    </row>
    <row r="508" spans="4:6" ht="13.2" x14ac:dyDescent="0.25">
      <c r="D508" s="16"/>
      <c r="E508" s="16"/>
      <c r="F508" s="71"/>
    </row>
    <row r="509" spans="4:6" ht="13.2" x14ac:dyDescent="0.25">
      <c r="D509" s="16"/>
      <c r="E509" s="16"/>
      <c r="F509" s="71"/>
    </row>
    <row r="510" spans="4:6" ht="13.2" x14ac:dyDescent="0.25">
      <c r="D510" s="16"/>
      <c r="E510" s="16"/>
      <c r="F510" s="71"/>
    </row>
    <row r="511" spans="4:6" ht="13.2" x14ac:dyDescent="0.25">
      <c r="D511" s="16"/>
      <c r="E511" s="16"/>
      <c r="F511" s="71"/>
    </row>
    <row r="512" spans="4:6" ht="13.2" x14ac:dyDescent="0.25">
      <c r="D512" s="16"/>
      <c r="E512" s="16"/>
      <c r="F512" s="71"/>
    </row>
    <row r="513" spans="4:6" ht="13.2" x14ac:dyDescent="0.25">
      <c r="D513" s="16"/>
      <c r="E513" s="16"/>
      <c r="F513" s="71"/>
    </row>
    <row r="514" spans="4:6" ht="13.2" x14ac:dyDescent="0.25">
      <c r="D514" s="16"/>
      <c r="E514" s="16"/>
      <c r="F514" s="71"/>
    </row>
    <row r="515" spans="4:6" ht="13.2" x14ac:dyDescent="0.25">
      <c r="D515" s="16"/>
      <c r="E515" s="16"/>
      <c r="F515" s="71"/>
    </row>
    <row r="516" spans="4:6" ht="13.2" x14ac:dyDescent="0.25">
      <c r="D516" s="16"/>
      <c r="E516" s="16"/>
      <c r="F516" s="71"/>
    </row>
    <row r="517" spans="4:6" ht="13.2" x14ac:dyDescent="0.25">
      <c r="D517" s="16"/>
      <c r="E517" s="16"/>
      <c r="F517" s="71"/>
    </row>
    <row r="518" spans="4:6" ht="13.2" x14ac:dyDescent="0.25">
      <c r="D518" s="16"/>
      <c r="E518" s="16"/>
      <c r="F518" s="71"/>
    </row>
    <row r="519" spans="4:6" ht="13.2" x14ac:dyDescent="0.25">
      <c r="D519" s="16"/>
      <c r="E519" s="16"/>
      <c r="F519" s="71"/>
    </row>
    <row r="520" spans="4:6" ht="13.2" x14ac:dyDescent="0.25">
      <c r="D520" s="16"/>
      <c r="E520" s="16"/>
      <c r="F520" s="71"/>
    </row>
    <row r="521" spans="4:6" ht="13.2" x14ac:dyDescent="0.25">
      <c r="D521" s="16"/>
      <c r="E521" s="16"/>
      <c r="F521" s="71"/>
    </row>
    <row r="522" spans="4:6" ht="13.2" x14ac:dyDescent="0.25">
      <c r="D522" s="16"/>
      <c r="E522" s="16"/>
      <c r="F522" s="71"/>
    </row>
    <row r="523" spans="4:6" ht="13.2" x14ac:dyDescent="0.25">
      <c r="D523" s="16"/>
      <c r="E523" s="16"/>
      <c r="F523" s="71"/>
    </row>
    <row r="524" spans="4:6" ht="13.2" x14ac:dyDescent="0.25">
      <c r="D524" s="16"/>
      <c r="E524" s="16"/>
      <c r="F524" s="71"/>
    </row>
    <row r="525" spans="4:6" ht="13.2" x14ac:dyDescent="0.25">
      <c r="D525" s="16"/>
      <c r="E525" s="16"/>
      <c r="F525" s="71"/>
    </row>
    <row r="526" spans="4:6" ht="13.2" x14ac:dyDescent="0.25">
      <c r="D526" s="16"/>
      <c r="E526" s="16"/>
      <c r="F526" s="71"/>
    </row>
    <row r="527" spans="4:6" ht="13.2" x14ac:dyDescent="0.25">
      <c r="D527" s="16"/>
      <c r="E527" s="16"/>
      <c r="F527" s="71"/>
    </row>
    <row r="528" spans="4:6" ht="13.2" x14ac:dyDescent="0.25">
      <c r="D528" s="16"/>
      <c r="E528" s="16"/>
      <c r="F528" s="71"/>
    </row>
    <row r="529" spans="4:6" ht="13.2" x14ac:dyDescent="0.25">
      <c r="D529" s="16"/>
      <c r="E529" s="16"/>
      <c r="F529" s="71"/>
    </row>
    <row r="530" spans="4:6" ht="13.2" x14ac:dyDescent="0.25">
      <c r="D530" s="16"/>
      <c r="E530" s="16"/>
      <c r="F530" s="71"/>
    </row>
    <row r="531" spans="4:6" ht="13.2" x14ac:dyDescent="0.25">
      <c r="D531" s="16"/>
      <c r="E531" s="16"/>
      <c r="F531" s="71"/>
    </row>
    <row r="532" spans="4:6" ht="13.2" x14ac:dyDescent="0.25">
      <c r="D532" s="16"/>
      <c r="E532" s="16"/>
      <c r="F532" s="71"/>
    </row>
    <row r="533" spans="4:6" ht="13.2" x14ac:dyDescent="0.25">
      <c r="D533" s="16"/>
      <c r="E533" s="16"/>
      <c r="F533" s="71"/>
    </row>
    <row r="534" spans="4:6" ht="13.2" x14ac:dyDescent="0.25">
      <c r="D534" s="16"/>
      <c r="E534" s="16"/>
      <c r="F534" s="71"/>
    </row>
    <row r="535" spans="4:6" ht="13.2" x14ac:dyDescent="0.25">
      <c r="D535" s="16"/>
      <c r="E535" s="16"/>
      <c r="F535" s="71"/>
    </row>
    <row r="536" spans="4:6" ht="13.2" x14ac:dyDescent="0.25">
      <c r="D536" s="16"/>
      <c r="E536" s="16"/>
      <c r="F536" s="71"/>
    </row>
    <row r="537" spans="4:6" ht="13.2" x14ac:dyDescent="0.25">
      <c r="D537" s="16"/>
      <c r="E537" s="16"/>
      <c r="F537" s="71"/>
    </row>
    <row r="538" spans="4:6" ht="13.2" x14ac:dyDescent="0.25">
      <c r="D538" s="16"/>
      <c r="E538" s="16"/>
      <c r="F538" s="71"/>
    </row>
    <row r="539" spans="4:6" ht="13.2" x14ac:dyDescent="0.25">
      <c r="D539" s="16"/>
      <c r="E539" s="16"/>
      <c r="F539" s="71"/>
    </row>
    <row r="540" spans="4:6" ht="13.2" x14ac:dyDescent="0.25">
      <c r="D540" s="16"/>
      <c r="E540" s="16"/>
      <c r="F540" s="71"/>
    </row>
    <row r="541" spans="4:6" ht="13.2" x14ac:dyDescent="0.25">
      <c r="D541" s="16"/>
      <c r="E541" s="16"/>
      <c r="F541" s="71"/>
    </row>
    <row r="542" spans="4:6" ht="13.2" x14ac:dyDescent="0.25">
      <c r="D542" s="16"/>
      <c r="E542" s="16"/>
      <c r="F542" s="71"/>
    </row>
    <row r="543" spans="4:6" ht="13.2" x14ac:dyDescent="0.25">
      <c r="D543" s="16"/>
      <c r="E543" s="16"/>
      <c r="F543" s="71"/>
    </row>
    <row r="544" spans="4:6" ht="13.2" x14ac:dyDescent="0.25">
      <c r="D544" s="16"/>
      <c r="E544" s="16"/>
      <c r="F544" s="71"/>
    </row>
    <row r="545" spans="4:6" ht="13.2" x14ac:dyDescent="0.25">
      <c r="D545" s="16"/>
      <c r="E545" s="16"/>
      <c r="F545" s="71"/>
    </row>
    <row r="546" spans="4:6" ht="13.2" x14ac:dyDescent="0.25">
      <c r="D546" s="16"/>
      <c r="E546" s="16"/>
      <c r="F546" s="71"/>
    </row>
    <row r="547" spans="4:6" ht="13.2" x14ac:dyDescent="0.25">
      <c r="D547" s="16"/>
      <c r="E547" s="16"/>
      <c r="F547" s="71"/>
    </row>
    <row r="548" spans="4:6" ht="13.2" x14ac:dyDescent="0.25">
      <c r="D548" s="16"/>
      <c r="E548" s="16"/>
      <c r="F548" s="71"/>
    </row>
    <row r="549" spans="4:6" ht="13.2" x14ac:dyDescent="0.25">
      <c r="D549" s="16"/>
      <c r="E549" s="16"/>
      <c r="F549" s="71"/>
    </row>
    <row r="550" spans="4:6" ht="13.2" x14ac:dyDescent="0.25">
      <c r="D550" s="16"/>
      <c r="E550" s="16"/>
      <c r="F550" s="71"/>
    </row>
    <row r="551" spans="4:6" ht="13.2" x14ac:dyDescent="0.25">
      <c r="D551" s="16"/>
      <c r="E551" s="16"/>
      <c r="F551" s="71"/>
    </row>
    <row r="552" spans="4:6" ht="13.2" x14ac:dyDescent="0.25">
      <c r="D552" s="16"/>
      <c r="E552" s="16"/>
      <c r="F552" s="71"/>
    </row>
    <row r="553" spans="4:6" ht="13.2" x14ac:dyDescent="0.25">
      <c r="D553" s="16"/>
      <c r="E553" s="16"/>
      <c r="F553" s="71"/>
    </row>
    <row r="554" spans="4:6" ht="13.2" x14ac:dyDescent="0.25">
      <c r="D554" s="16"/>
      <c r="E554" s="16"/>
      <c r="F554" s="71"/>
    </row>
    <row r="555" spans="4:6" ht="13.2" x14ac:dyDescent="0.25">
      <c r="D555" s="16"/>
      <c r="E555" s="16"/>
      <c r="F555" s="71"/>
    </row>
    <row r="556" spans="4:6" ht="13.2" x14ac:dyDescent="0.25">
      <c r="D556" s="16"/>
      <c r="E556" s="16"/>
      <c r="F556" s="71"/>
    </row>
    <row r="557" spans="4:6" ht="13.2" x14ac:dyDescent="0.25">
      <c r="D557" s="16"/>
      <c r="E557" s="16"/>
      <c r="F557" s="71"/>
    </row>
    <row r="558" spans="4:6" ht="13.2" x14ac:dyDescent="0.25">
      <c r="D558" s="16"/>
      <c r="E558" s="16"/>
      <c r="F558" s="71"/>
    </row>
    <row r="559" spans="4:6" ht="13.2" x14ac:dyDescent="0.25">
      <c r="D559" s="16"/>
      <c r="E559" s="16"/>
      <c r="F559" s="71"/>
    </row>
    <row r="560" spans="4:6" ht="13.2" x14ac:dyDescent="0.25">
      <c r="D560" s="16"/>
      <c r="E560" s="16"/>
      <c r="F560" s="71"/>
    </row>
    <row r="561" spans="4:6" ht="13.2" x14ac:dyDescent="0.25">
      <c r="D561" s="16"/>
      <c r="E561" s="16"/>
      <c r="F561" s="71"/>
    </row>
    <row r="562" spans="4:6" ht="13.2" x14ac:dyDescent="0.25">
      <c r="D562" s="16"/>
      <c r="E562" s="16"/>
      <c r="F562" s="71"/>
    </row>
    <row r="563" spans="4:6" ht="13.2" x14ac:dyDescent="0.25">
      <c r="D563" s="16"/>
      <c r="E563" s="16"/>
      <c r="F563" s="71"/>
    </row>
    <row r="564" spans="4:6" ht="13.2" x14ac:dyDescent="0.25">
      <c r="D564" s="16"/>
      <c r="E564" s="16"/>
      <c r="F564" s="71"/>
    </row>
    <row r="565" spans="4:6" ht="13.2" x14ac:dyDescent="0.25">
      <c r="D565" s="16"/>
      <c r="E565" s="16"/>
      <c r="F565" s="71"/>
    </row>
    <row r="566" spans="4:6" ht="13.2" x14ac:dyDescent="0.25">
      <c r="D566" s="16"/>
      <c r="E566" s="16"/>
      <c r="F566" s="71"/>
    </row>
    <row r="567" spans="4:6" ht="13.2" x14ac:dyDescent="0.25">
      <c r="D567" s="16"/>
      <c r="E567" s="16"/>
      <c r="F567" s="71"/>
    </row>
    <row r="568" spans="4:6" ht="13.2" x14ac:dyDescent="0.25">
      <c r="D568" s="16"/>
      <c r="E568" s="16"/>
      <c r="F568" s="71"/>
    </row>
    <row r="569" spans="4:6" ht="13.2" x14ac:dyDescent="0.25">
      <c r="D569" s="16"/>
      <c r="E569" s="16"/>
      <c r="F569" s="71"/>
    </row>
    <row r="570" spans="4:6" ht="13.2" x14ac:dyDescent="0.25">
      <c r="D570" s="16"/>
      <c r="E570" s="16"/>
      <c r="F570" s="71"/>
    </row>
    <row r="571" spans="4:6" ht="13.2" x14ac:dyDescent="0.25">
      <c r="D571" s="16"/>
      <c r="E571" s="16"/>
      <c r="F571" s="71"/>
    </row>
    <row r="572" spans="4:6" ht="13.2" x14ac:dyDescent="0.25">
      <c r="D572" s="16"/>
      <c r="E572" s="16"/>
      <c r="F572" s="71"/>
    </row>
    <row r="573" spans="4:6" ht="13.2" x14ac:dyDescent="0.25">
      <c r="D573" s="16"/>
      <c r="E573" s="16"/>
      <c r="F573" s="71"/>
    </row>
    <row r="574" spans="4:6" ht="13.2" x14ac:dyDescent="0.25">
      <c r="D574" s="16"/>
      <c r="E574" s="16"/>
      <c r="F574" s="71"/>
    </row>
    <row r="575" spans="4:6" ht="13.2" x14ac:dyDescent="0.25">
      <c r="D575" s="16"/>
      <c r="E575" s="16"/>
      <c r="F575" s="71"/>
    </row>
    <row r="576" spans="4:6" ht="13.2" x14ac:dyDescent="0.25">
      <c r="D576" s="16"/>
      <c r="E576" s="16"/>
      <c r="F576" s="71"/>
    </row>
    <row r="577" spans="4:6" ht="13.2" x14ac:dyDescent="0.25">
      <c r="D577" s="16"/>
      <c r="E577" s="16"/>
      <c r="F577" s="71"/>
    </row>
    <row r="578" spans="4:6" ht="13.2" x14ac:dyDescent="0.25">
      <c r="D578" s="16"/>
      <c r="E578" s="16"/>
      <c r="F578" s="71"/>
    </row>
    <row r="579" spans="4:6" ht="13.2" x14ac:dyDescent="0.25">
      <c r="D579" s="16"/>
      <c r="E579" s="16"/>
      <c r="F579" s="71"/>
    </row>
    <row r="580" spans="4:6" ht="13.2" x14ac:dyDescent="0.25">
      <c r="D580" s="16"/>
      <c r="E580" s="16"/>
      <c r="F580" s="71"/>
    </row>
    <row r="581" spans="4:6" ht="13.2" x14ac:dyDescent="0.25">
      <c r="D581" s="16"/>
      <c r="E581" s="16"/>
      <c r="F581" s="71"/>
    </row>
    <row r="582" spans="4:6" ht="13.2" x14ac:dyDescent="0.25">
      <c r="D582" s="16"/>
      <c r="E582" s="16"/>
      <c r="F582" s="71"/>
    </row>
    <row r="583" spans="4:6" ht="13.2" x14ac:dyDescent="0.25">
      <c r="D583" s="16"/>
      <c r="E583" s="16"/>
      <c r="F583" s="71"/>
    </row>
    <row r="584" spans="4:6" ht="13.2" x14ac:dyDescent="0.25">
      <c r="D584" s="16"/>
      <c r="E584" s="16"/>
      <c r="F584" s="71"/>
    </row>
    <row r="585" spans="4:6" ht="13.2" x14ac:dyDescent="0.25">
      <c r="D585" s="16"/>
      <c r="E585" s="16"/>
      <c r="F585" s="71"/>
    </row>
    <row r="586" spans="4:6" ht="13.2" x14ac:dyDescent="0.25">
      <c r="D586" s="16"/>
      <c r="E586" s="16"/>
      <c r="F586" s="71"/>
    </row>
    <row r="587" spans="4:6" ht="13.2" x14ac:dyDescent="0.25">
      <c r="D587" s="16"/>
      <c r="E587" s="16"/>
      <c r="F587" s="71"/>
    </row>
    <row r="588" spans="4:6" ht="13.2" x14ac:dyDescent="0.25">
      <c r="D588" s="16"/>
      <c r="E588" s="16"/>
      <c r="F588" s="71"/>
    </row>
    <row r="589" spans="4:6" ht="13.2" x14ac:dyDescent="0.25">
      <c r="D589" s="16"/>
      <c r="E589" s="16"/>
      <c r="F589" s="71"/>
    </row>
    <row r="590" spans="4:6" ht="13.2" x14ac:dyDescent="0.25">
      <c r="D590" s="16"/>
      <c r="E590" s="16"/>
      <c r="F590" s="71"/>
    </row>
    <row r="591" spans="4:6" ht="13.2" x14ac:dyDescent="0.25">
      <c r="D591" s="16"/>
      <c r="E591" s="16"/>
      <c r="F591" s="71"/>
    </row>
    <row r="592" spans="4:6" ht="13.2" x14ac:dyDescent="0.25">
      <c r="D592" s="16"/>
      <c r="E592" s="16"/>
      <c r="F592" s="71"/>
    </row>
    <row r="593" spans="4:6" ht="13.2" x14ac:dyDescent="0.25">
      <c r="D593" s="16"/>
      <c r="E593" s="16"/>
      <c r="F593" s="71"/>
    </row>
    <row r="594" spans="4:6" ht="13.2" x14ac:dyDescent="0.25">
      <c r="D594" s="16"/>
      <c r="E594" s="16"/>
      <c r="F594" s="71"/>
    </row>
    <row r="595" spans="4:6" ht="13.2" x14ac:dyDescent="0.25">
      <c r="D595" s="16"/>
      <c r="E595" s="16"/>
      <c r="F595" s="71"/>
    </row>
    <row r="596" spans="4:6" ht="13.2" x14ac:dyDescent="0.25">
      <c r="D596" s="16"/>
      <c r="E596" s="16"/>
      <c r="F596" s="71"/>
    </row>
    <row r="597" spans="4:6" ht="13.2" x14ac:dyDescent="0.25">
      <c r="D597" s="16"/>
      <c r="E597" s="16"/>
      <c r="F597" s="71"/>
    </row>
    <row r="598" spans="4:6" ht="13.2" x14ac:dyDescent="0.25">
      <c r="D598" s="16"/>
      <c r="E598" s="16"/>
      <c r="F598" s="71"/>
    </row>
    <row r="599" spans="4:6" ht="13.2" x14ac:dyDescent="0.25">
      <c r="D599" s="16"/>
      <c r="E599" s="16"/>
      <c r="F599" s="71"/>
    </row>
    <row r="600" spans="4:6" ht="13.2" x14ac:dyDescent="0.25">
      <c r="D600" s="16"/>
      <c r="E600" s="16"/>
      <c r="F600" s="71"/>
    </row>
    <row r="601" spans="4:6" ht="13.2" x14ac:dyDescent="0.25">
      <c r="D601" s="16"/>
      <c r="E601" s="16"/>
      <c r="F601" s="71"/>
    </row>
    <row r="602" spans="4:6" ht="13.2" x14ac:dyDescent="0.25">
      <c r="D602" s="16"/>
      <c r="E602" s="16"/>
      <c r="F602" s="71"/>
    </row>
    <row r="603" spans="4:6" ht="13.2" x14ac:dyDescent="0.25">
      <c r="D603" s="16"/>
      <c r="E603" s="16"/>
      <c r="F603" s="71"/>
    </row>
    <row r="604" spans="4:6" ht="13.2" x14ac:dyDescent="0.25">
      <c r="D604" s="16"/>
      <c r="E604" s="16"/>
      <c r="F604" s="71"/>
    </row>
    <row r="605" spans="4:6" ht="13.2" x14ac:dyDescent="0.25">
      <c r="D605" s="16"/>
      <c r="E605" s="16"/>
      <c r="F605" s="71"/>
    </row>
    <row r="606" spans="4:6" ht="13.2" x14ac:dyDescent="0.25">
      <c r="D606" s="16"/>
      <c r="E606" s="16"/>
      <c r="F606" s="71"/>
    </row>
    <row r="607" spans="4:6" ht="13.2" x14ac:dyDescent="0.25">
      <c r="D607" s="16"/>
      <c r="E607" s="16"/>
      <c r="F607" s="71"/>
    </row>
    <row r="608" spans="4:6" ht="13.2" x14ac:dyDescent="0.25">
      <c r="D608" s="16"/>
      <c r="E608" s="16"/>
      <c r="F608" s="71"/>
    </row>
    <row r="609" spans="4:6" ht="13.2" x14ac:dyDescent="0.25">
      <c r="D609" s="16"/>
      <c r="E609" s="16"/>
      <c r="F609" s="71"/>
    </row>
    <row r="610" spans="4:6" ht="13.2" x14ac:dyDescent="0.25">
      <c r="D610" s="16"/>
      <c r="E610" s="16"/>
      <c r="F610" s="71"/>
    </row>
    <row r="611" spans="4:6" ht="13.2" x14ac:dyDescent="0.25">
      <c r="D611" s="16"/>
      <c r="E611" s="16"/>
      <c r="F611" s="71"/>
    </row>
    <row r="612" spans="4:6" ht="13.2" x14ac:dyDescent="0.25">
      <c r="D612" s="16"/>
      <c r="E612" s="16"/>
      <c r="F612" s="71"/>
    </row>
    <row r="613" spans="4:6" ht="13.2" x14ac:dyDescent="0.25">
      <c r="D613" s="16"/>
      <c r="E613" s="16"/>
      <c r="F613" s="71"/>
    </row>
    <row r="614" spans="4:6" ht="13.2" x14ac:dyDescent="0.25">
      <c r="D614" s="16"/>
      <c r="E614" s="16"/>
      <c r="F614" s="71"/>
    </row>
    <row r="615" spans="4:6" ht="13.2" x14ac:dyDescent="0.25">
      <c r="D615" s="16"/>
      <c r="E615" s="16"/>
      <c r="F615" s="71"/>
    </row>
    <row r="616" spans="4:6" ht="13.2" x14ac:dyDescent="0.25">
      <c r="D616" s="16"/>
      <c r="E616" s="16"/>
      <c r="F616" s="71"/>
    </row>
    <row r="617" spans="4:6" ht="13.2" x14ac:dyDescent="0.25">
      <c r="D617" s="16"/>
      <c r="E617" s="16"/>
      <c r="F617" s="71"/>
    </row>
    <row r="618" spans="4:6" ht="13.2" x14ac:dyDescent="0.25">
      <c r="D618" s="16"/>
      <c r="E618" s="16"/>
      <c r="F618" s="71"/>
    </row>
    <row r="619" spans="4:6" ht="13.2" x14ac:dyDescent="0.25">
      <c r="D619" s="16"/>
      <c r="E619" s="16"/>
      <c r="F619" s="71"/>
    </row>
    <row r="620" spans="4:6" ht="13.2" x14ac:dyDescent="0.25">
      <c r="D620" s="16"/>
      <c r="E620" s="16"/>
      <c r="F620" s="71"/>
    </row>
    <row r="621" spans="4:6" ht="13.2" x14ac:dyDescent="0.25">
      <c r="D621" s="16"/>
      <c r="E621" s="16"/>
      <c r="F621" s="71"/>
    </row>
    <row r="622" spans="4:6" ht="13.2" x14ac:dyDescent="0.25">
      <c r="D622" s="16"/>
      <c r="E622" s="16"/>
      <c r="F622" s="71"/>
    </row>
    <row r="623" spans="4:6" ht="13.2" x14ac:dyDescent="0.25">
      <c r="D623" s="16"/>
      <c r="E623" s="16"/>
      <c r="F623" s="71"/>
    </row>
    <row r="624" spans="4:6" ht="13.2" x14ac:dyDescent="0.25">
      <c r="D624" s="16"/>
      <c r="E624" s="16"/>
      <c r="F624" s="71"/>
    </row>
    <row r="625" spans="4:6" ht="13.2" x14ac:dyDescent="0.25">
      <c r="D625" s="16"/>
      <c r="E625" s="16"/>
      <c r="F625" s="71"/>
    </row>
    <row r="626" spans="4:6" ht="13.2" x14ac:dyDescent="0.25">
      <c r="D626" s="16"/>
      <c r="E626" s="16"/>
      <c r="F626" s="71"/>
    </row>
    <row r="627" spans="4:6" ht="13.2" x14ac:dyDescent="0.25">
      <c r="D627" s="16"/>
      <c r="E627" s="16"/>
      <c r="F627" s="71"/>
    </row>
    <row r="628" spans="4:6" ht="13.2" x14ac:dyDescent="0.25">
      <c r="D628" s="16"/>
      <c r="E628" s="16"/>
      <c r="F628" s="71"/>
    </row>
    <row r="629" spans="4:6" ht="13.2" x14ac:dyDescent="0.25">
      <c r="D629" s="16"/>
      <c r="E629" s="16"/>
      <c r="F629" s="71"/>
    </row>
    <row r="630" spans="4:6" ht="13.2" x14ac:dyDescent="0.25">
      <c r="D630" s="16"/>
      <c r="E630" s="16"/>
      <c r="F630" s="71"/>
    </row>
    <row r="631" spans="4:6" ht="13.2" x14ac:dyDescent="0.25">
      <c r="D631" s="16"/>
      <c r="E631" s="16"/>
      <c r="F631" s="71"/>
    </row>
    <row r="632" spans="4:6" ht="13.2" x14ac:dyDescent="0.25">
      <c r="D632" s="16"/>
      <c r="E632" s="16"/>
      <c r="F632" s="71"/>
    </row>
    <row r="633" spans="4:6" ht="13.2" x14ac:dyDescent="0.25">
      <c r="D633" s="16"/>
      <c r="E633" s="16"/>
      <c r="F633" s="71"/>
    </row>
    <row r="634" spans="4:6" ht="13.2" x14ac:dyDescent="0.25">
      <c r="D634" s="16"/>
      <c r="E634" s="16"/>
      <c r="F634" s="71"/>
    </row>
    <row r="635" spans="4:6" ht="13.2" x14ac:dyDescent="0.25">
      <c r="D635" s="16"/>
      <c r="E635" s="16"/>
      <c r="F635" s="71"/>
    </row>
    <row r="636" spans="4:6" ht="13.2" x14ac:dyDescent="0.25">
      <c r="D636" s="16"/>
      <c r="E636" s="16"/>
      <c r="F636" s="71"/>
    </row>
    <row r="637" spans="4:6" ht="13.2" x14ac:dyDescent="0.25">
      <c r="D637" s="16"/>
      <c r="E637" s="16"/>
      <c r="F637" s="71"/>
    </row>
    <row r="638" spans="4:6" ht="13.2" x14ac:dyDescent="0.25">
      <c r="D638" s="16"/>
      <c r="E638" s="16"/>
      <c r="F638" s="71"/>
    </row>
    <row r="639" spans="4:6" ht="13.2" x14ac:dyDescent="0.25">
      <c r="D639" s="16"/>
      <c r="E639" s="16"/>
      <c r="F639" s="71"/>
    </row>
    <row r="640" spans="4:6" ht="13.2" x14ac:dyDescent="0.25">
      <c r="D640" s="16"/>
      <c r="E640" s="16"/>
      <c r="F640" s="71"/>
    </row>
    <row r="641" spans="4:6" ht="13.2" x14ac:dyDescent="0.25">
      <c r="D641" s="16"/>
      <c r="E641" s="16"/>
      <c r="F641" s="71"/>
    </row>
    <row r="642" spans="4:6" ht="13.2" x14ac:dyDescent="0.25">
      <c r="D642" s="16"/>
      <c r="E642" s="16"/>
      <c r="F642" s="71"/>
    </row>
    <row r="643" spans="4:6" ht="13.2" x14ac:dyDescent="0.25">
      <c r="D643" s="16"/>
      <c r="E643" s="16"/>
      <c r="F643" s="71"/>
    </row>
    <row r="644" spans="4:6" ht="13.2" x14ac:dyDescent="0.25">
      <c r="D644" s="16"/>
      <c r="E644" s="16"/>
      <c r="F644" s="71"/>
    </row>
    <row r="645" spans="4:6" ht="13.2" x14ac:dyDescent="0.25">
      <c r="D645" s="16"/>
      <c r="E645" s="16"/>
      <c r="F645" s="71"/>
    </row>
    <row r="646" spans="4:6" ht="13.2" x14ac:dyDescent="0.25">
      <c r="D646" s="16"/>
      <c r="E646" s="16"/>
      <c r="F646" s="71"/>
    </row>
    <row r="647" spans="4:6" ht="13.2" x14ac:dyDescent="0.25">
      <c r="D647" s="16"/>
      <c r="E647" s="16"/>
      <c r="F647" s="71"/>
    </row>
    <row r="648" spans="4:6" ht="13.2" x14ac:dyDescent="0.25">
      <c r="D648" s="16"/>
      <c r="E648" s="16"/>
      <c r="F648" s="71"/>
    </row>
    <row r="649" spans="4:6" ht="13.2" x14ac:dyDescent="0.25">
      <c r="D649" s="16"/>
      <c r="E649" s="16"/>
      <c r="F649" s="71"/>
    </row>
    <row r="650" spans="4:6" ht="13.2" x14ac:dyDescent="0.25">
      <c r="D650" s="16"/>
      <c r="E650" s="16"/>
      <c r="F650" s="71"/>
    </row>
    <row r="651" spans="4:6" ht="13.2" x14ac:dyDescent="0.25">
      <c r="D651" s="16"/>
      <c r="E651" s="16"/>
      <c r="F651" s="71"/>
    </row>
    <row r="652" spans="4:6" ht="13.2" x14ac:dyDescent="0.25">
      <c r="D652" s="16"/>
      <c r="E652" s="16"/>
      <c r="F652" s="71"/>
    </row>
    <row r="653" spans="4:6" ht="13.2" x14ac:dyDescent="0.25">
      <c r="D653" s="16"/>
      <c r="E653" s="16"/>
      <c r="F653" s="71"/>
    </row>
    <row r="654" spans="4:6" ht="13.2" x14ac:dyDescent="0.25">
      <c r="D654" s="16"/>
      <c r="E654" s="16"/>
      <c r="F654" s="71"/>
    </row>
    <row r="655" spans="4:6" ht="13.2" x14ac:dyDescent="0.25">
      <c r="D655" s="16"/>
      <c r="E655" s="16"/>
      <c r="F655" s="71"/>
    </row>
    <row r="656" spans="4:6" ht="13.2" x14ac:dyDescent="0.25">
      <c r="D656" s="16"/>
      <c r="E656" s="16"/>
      <c r="F656" s="71"/>
    </row>
    <row r="657" spans="4:6" ht="13.2" x14ac:dyDescent="0.25">
      <c r="D657" s="16"/>
      <c r="E657" s="16"/>
      <c r="F657" s="71"/>
    </row>
    <row r="658" spans="4:6" ht="13.2" x14ac:dyDescent="0.25">
      <c r="D658" s="16"/>
      <c r="E658" s="16"/>
      <c r="F658" s="71"/>
    </row>
    <row r="659" spans="4:6" ht="13.2" x14ac:dyDescent="0.25">
      <c r="D659" s="16"/>
      <c r="E659" s="16"/>
      <c r="F659" s="71"/>
    </row>
    <row r="660" spans="4:6" ht="13.2" x14ac:dyDescent="0.25">
      <c r="D660" s="16"/>
      <c r="E660" s="16"/>
      <c r="F660" s="71"/>
    </row>
    <row r="661" spans="4:6" ht="13.2" x14ac:dyDescent="0.25">
      <c r="D661" s="16"/>
      <c r="E661" s="16"/>
      <c r="F661" s="71"/>
    </row>
    <row r="662" spans="4:6" ht="13.2" x14ac:dyDescent="0.25">
      <c r="D662" s="16"/>
      <c r="E662" s="16"/>
      <c r="F662" s="71"/>
    </row>
    <row r="663" spans="4:6" ht="13.2" x14ac:dyDescent="0.25">
      <c r="D663" s="16"/>
      <c r="E663" s="16"/>
      <c r="F663" s="71"/>
    </row>
    <row r="664" spans="4:6" ht="13.2" x14ac:dyDescent="0.25">
      <c r="D664" s="16"/>
      <c r="E664" s="16"/>
      <c r="F664" s="71"/>
    </row>
    <row r="665" spans="4:6" ht="13.2" x14ac:dyDescent="0.25">
      <c r="D665" s="16"/>
      <c r="E665" s="16"/>
      <c r="F665" s="71"/>
    </row>
    <row r="666" spans="4:6" ht="13.2" x14ac:dyDescent="0.25">
      <c r="D666" s="16"/>
      <c r="E666" s="16"/>
      <c r="F666" s="71"/>
    </row>
    <row r="667" spans="4:6" ht="13.2" x14ac:dyDescent="0.25">
      <c r="D667" s="16"/>
      <c r="E667" s="16"/>
      <c r="F667" s="71"/>
    </row>
    <row r="668" spans="4:6" ht="13.2" x14ac:dyDescent="0.25">
      <c r="D668" s="16"/>
      <c r="E668" s="16"/>
      <c r="F668" s="71"/>
    </row>
    <row r="669" spans="4:6" ht="13.2" x14ac:dyDescent="0.25">
      <c r="D669" s="16"/>
      <c r="E669" s="16"/>
      <c r="F669" s="71"/>
    </row>
    <row r="670" spans="4:6" ht="13.2" x14ac:dyDescent="0.25">
      <c r="D670" s="16"/>
      <c r="E670" s="16"/>
      <c r="F670" s="71"/>
    </row>
    <row r="671" spans="4:6" ht="13.2" x14ac:dyDescent="0.25">
      <c r="D671" s="16"/>
      <c r="E671" s="16"/>
      <c r="F671" s="71"/>
    </row>
    <row r="672" spans="4:6" ht="13.2" x14ac:dyDescent="0.25">
      <c r="D672" s="16"/>
      <c r="E672" s="16"/>
      <c r="F672" s="71"/>
    </row>
    <row r="673" spans="4:6" ht="13.2" x14ac:dyDescent="0.25">
      <c r="D673" s="16"/>
      <c r="E673" s="16"/>
      <c r="F673" s="71"/>
    </row>
    <row r="674" spans="4:6" ht="13.2" x14ac:dyDescent="0.25">
      <c r="D674" s="16"/>
      <c r="E674" s="16"/>
      <c r="F674" s="71"/>
    </row>
    <row r="675" spans="4:6" ht="13.2" x14ac:dyDescent="0.25">
      <c r="D675" s="16"/>
      <c r="E675" s="16"/>
      <c r="F675" s="71"/>
    </row>
    <row r="676" spans="4:6" ht="13.2" x14ac:dyDescent="0.25">
      <c r="D676" s="16"/>
      <c r="E676" s="16"/>
      <c r="F676" s="71"/>
    </row>
    <row r="677" spans="4:6" ht="13.2" x14ac:dyDescent="0.25">
      <c r="D677" s="16"/>
      <c r="E677" s="16"/>
      <c r="F677" s="71"/>
    </row>
    <row r="678" spans="4:6" ht="13.2" x14ac:dyDescent="0.25">
      <c r="D678" s="16"/>
      <c r="E678" s="16"/>
      <c r="F678" s="71"/>
    </row>
    <row r="679" spans="4:6" ht="13.2" x14ac:dyDescent="0.25">
      <c r="D679" s="16"/>
      <c r="E679" s="16"/>
      <c r="F679" s="71"/>
    </row>
    <row r="680" spans="4:6" ht="13.2" x14ac:dyDescent="0.25">
      <c r="D680" s="16"/>
      <c r="E680" s="16"/>
      <c r="F680" s="71"/>
    </row>
    <row r="681" spans="4:6" ht="13.2" x14ac:dyDescent="0.25">
      <c r="D681" s="16"/>
      <c r="E681" s="16"/>
      <c r="F681" s="71"/>
    </row>
    <row r="682" spans="4:6" ht="13.2" x14ac:dyDescent="0.25">
      <c r="D682" s="16"/>
      <c r="E682" s="16"/>
      <c r="F682" s="71"/>
    </row>
    <row r="683" spans="4:6" ht="13.2" x14ac:dyDescent="0.25">
      <c r="D683" s="16"/>
      <c r="E683" s="16"/>
      <c r="F683" s="71"/>
    </row>
    <row r="684" spans="4:6" ht="13.2" x14ac:dyDescent="0.25">
      <c r="D684" s="16"/>
      <c r="E684" s="16"/>
      <c r="F684" s="71"/>
    </row>
    <row r="685" spans="4:6" ht="13.2" x14ac:dyDescent="0.25">
      <c r="D685" s="16"/>
      <c r="E685" s="16"/>
      <c r="F685" s="71"/>
    </row>
    <row r="686" spans="4:6" ht="13.2" x14ac:dyDescent="0.25">
      <c r="D686" s="16"/>
      <c r="E686" s="16"/>
      <c r="F686" s="71"/>
    </row>
    <row r="687" spans="4:6" ht="13.2" x14ac:dyDescent="0.25">
      <c r="D687" s="16"/>
      <c r="E687" s="16"/>
      <c r="F687" s="71"/>
    </row>
    <row r="688" spans="4:6" ht="13.2" x14ac:dyDescent="0.25">
      <c r="D688" s="16"/>
      <c r="E688" s="16"/>
      <c r="F688" s="71"/>
    </row>
    <row r="689" spans="4:6" ht="13.2" x14ac:dyDescent="0.25">
      <c r="D689" s="16"/>
      <c r="E689" s="16"/>
      <c r="F689" s="71"/>
    </row>
    <row r="690" spans="4:6" ht="13.2" x14ac:dyDescent="0.25">
      <c r="D690" s="16"/>
      <c r="E690" s="16"/>
      <c r="F690" s="71"/>
    </row>
    <row r="691" spans="4:6" ht="13.2" x14ac:dyDescent="0.25">
      <c r="D691" s="16"/>
      <c r="E691" s="16"/>
      <c r="F691" s="71"/>
    </row>
    <row r="692" spans="4:6" ht="13.2" x14ac:dyDescent="0.25">
      <c r="D692" s="16"/>
      <c r="E692" s="16"/>
      <c r="F692" s="71"/>
    </row>
    <row r="693" spans="4:6" ht="13.2" x14ac:dyDescent="0.25">
      <c r="D693" s="16"/>
      <c r="E693" s="16"/>
      <c r="F693" s="71"/>
    </row>
    <row r="694" spans="4:6" ht="13.2" x14ac:dyDescent="0.25">
      <c r="D694" s="16"/>
      <c r="E694" s="16"/>
      <c r="F694" s="71"/>
    </row>
    <row r="695" spans="4:6" ht="13.2" x14ac:dyDescent="0.25">
      <c r="D695" s="16"/>
      <c r="E695" s="16"/>
      <c r="F695" s="71"/>
    </row>
    <row r="696" spans="4:6" ht="13.2" x14ac:dyDescent="0.25">
      <c r="D696" s="16"/>
      <c r="E696" s="16"/>
      <c r="F696" s="71"/>
    </row>
    <row r="697" spans="4:6" ht="13.2" x14ac:dyDescent="0.25">
      <c r="D697" s="16"/>
      <c r="E697" s="16"/>
      <c r="F697" s="71"/>
    </row>
    <row r="698" spans="4:6" ht="13.2" x14ac:dyDescent="0.25">
      <c r="D698" s="16"/>
      <c r="E698" s="16"/>
      <c r="F698" s="71"/>
    </row>
    <row r="699" spans="4:6" ht="13.2" x14ac:dyDescent="0.25">
      <c r="D699" s="16"/>
      <c r="E699" s="16"/>
      <c r="F699" s="71"/>
    </row>
    <row r="700" spans="4:6" ht="13.2" x14ac:dyDescent="0.25">
      <c r="D700" s="16"/>
      <c r="E700" s="16"/>
      <c r="F700" s="71"/>
    </row>
    <row r="701" spans="4:6" ht="13.2" x14ac:dyDescent="0.25">
      <c r="D701" s="16"/>
      <c r="E701" s="16"/>
      <c r="F701" s="71"/>
    </row>
    <row r="702" spans="4:6" ht="13.2" x14ac:dyDescent="0.25">
      <c r="D702" s="16"/>
      <c r="E702" s="16"/>
      <c r="F702" s="71"/>
    </row>
    <row r="703" spans="4:6" ht="13.2" x14ac:dyDescent="0.25">
      <c r="D703" s="16"/>
      <c r="E703" s="16"/>
      <c r="F703" s="71"/>
    </row>
    <row r="704" spans="4:6" ht="13.2" x14ac:dyDescent="0.25">
      <c r="D704" s="16"/>
      <c r="E704" s="16"/>
      <c r="F704" s="71"/>
    </row>
    <row r="705" spans="4:6" ht="13.2" x14ac:dyDescent="0.25">
      <c r="D705" s="16"/>
      <c r="E705" s="16"/>
      <c r="F705" s="71"/>
    </row>
    <row r="706" spans="4:6" ht="13.2" x14ac:dyDescent="0.25">
      <c r="D706" s="16"/>
      <c r="E706" s="16"/>
      <c r="F706" s="71"/>
    </row>
    <row r="707" spans="4:6" ht="13.2" x14ac:dyDescent="0.25">
      <c r="D707" s="16"/>
      <c r="E707" s="16"/>
      <c r="F707" s="71"/>
    </row>
    <row r="708" spans="4:6" ht="13.2" x14ac:dyDescent="0.25">
      <c r="D708" s="16"/>
      <c r="E708" s="16"/>
      <c r="F708" s="71"/>
    </row>
    <row r="709" spans="4:6" ht="13.2" x14ac:dyDescent="0.25">
      <c r="D709" s="16"/>
      <c r="E709" s="16"/>
      <c r="F709" s="71"/>
    </row>
    <row r="710" spans="4:6" ht="13.2" x14ac:dyDescent="0.25">
      <c r="D710" s="16"/>
      <c r="E710" s="16"/>
      <c r="F710" s="71"/>
    </row>
    <row r="711" spans="4:6" ht="13.2" x14ac:dyDescent="0.25">
      <c r="D711" s="16"/>
      <c r="E711" s="16"/>
      <c r="F711" s="71"/>
    </row>
    <row r="712" spans="4:6" ht="13.2" x14ac:dyDescent="0.25">
      <c r="D712" s="16"/>
      <c r="E712" s="16"/>
      <c r="F712" s="71"/>
    </row>
    <row r="713" spans="4:6" ht="13.2" x14ac:dyDescent="0.25">
      <c r="D713" s="16"/>
      <c r="E713" s="16"/>
      <c r="F713" s="71"/>
    </row>
    <row r="714" spans="4:6" ht="13.2" x14ac:dyDescent="0.25">
      <c r="D714" s="16"/>
      <c r="E714" s="16"/>
      <c r="F714" s="71"/>
    </row>
    <row r="715" spans="4:6" ht="13.2" x14ac:dyDescent="0.25">
      <c r="D715" s="16"/>
      <c r="E715" s="16"/>
      <c r="F715" s="71"/>
    </row>
    <row r="716" spans="4:6" ht="13.2" x14ac:dyDescent="0.25">
      <c r="D716" s="16"/>
      <c r="E716" s="16"/>
      <c r="F716" s="71"/>
    </row>
    <row r="717" spans="4:6" ht="13.2" x14ac:dyDescent="0.25">
      <c r="D717" s="16"/>
      <c r="E717" s="16"/>
      <c r="F717" s="71"/>
    </row>
    <row r="718" spans="4:6" ht="13.2" x14ac:dyDescent="0.25">
      <c r="D718" s="16"/>
      <c r="E718" s="16"/>
      <c r="F718" s="71"/>
    </row>
    <row r="719" spans="4:6" ht="13.2" x14ac:dyDescent="0.25">
      <c r="D719" s="16"/>
      <c r="E719" s="16"/>
      <c r="F719" s="71"/>
    </row>
    <row r="720" spans="4:6" ht="13.2" x14ac:dyDescent="0.25">
      <c r="D720" s="16"/>
      <c r="E720" s="16"/>
      <c r="F720" s="71"/>
    </row>
    <row r="721" spans="4:6" ht="13.2" x14ac:dyDescent="0.25">
      <c r="D721" s="16"/>
      <c r="E721" s="16"/>
      <c r="F721" s="71"/>
    </row>
    <row r="722" spans="4:6" ht="13.2" x14ac:dyDescent="0.25">
      <c r="D722" s="16"/>
      <c r="E722" s="16"/>
      <c r="F722" s="71"/>
    </row>
    <row r="723" spans="4:6" ht="13.2" x14ac:dyDescent="0.25">
      <c r="D723" s="16"/>
      <c r="E723" s="16"/>
      <c r="F723" s="71"/>
    </row>
    <row r="724" spans="4:6" ht="13.2" x14ac:dyDescent="0.25">
      <c r="D724" s="16"/>
      <c r="E724" s="16"/>
      <c r="F724" s="71"/>
    </row>
    <row r="725" spans="4:6" ht="13.2" x14ac:dyDescent="0.25">
      <c r="D725" s="16"/>
      <c r="E725" s="16"/>
      <c r="F725" s="71"/>
    </row>
    <row r="726" spans="4:6" ht="13.2" x14ac:dyDescent="0.25">
      <c r="D726" s="16"/>
      <c r="E726" s="16"/>
      <c r="F726" s="71"/>
    </row>
    <row r="727" spans="4:6" ht="13.2" x14ac:dyDescent="0.25">
      <c r="D727" s="16"/>
      <c r="E727" s="16"/>
      <c r="F727" s="71"/>
    </row>
    <row r="728" spans="4:6" ht="13.2" x14ac:dyDescent="0.25">
      <c r="D728" s="16"/>
      <c r="E728" s="16"/>
      <c r="F728" s="71"/>
    </row>
    <row r="729" spans="4:6" ht="13.2" x14ac:dyDescent="0.25">
      <c r="D729" s="16"/>
      <c r="E729" s="16"/>
      <c r="F729" s="71"/>
    </row>
    <row r="730" spans="4:6" ht="13.2" x14ac:dyDescent="0.25">
      <c r="D730" s="16"/>
      <c r="E730" s="16"/>
      <c r="F730" s="71"/>
    </row>
    <row r="731" spans="4:6" ht="13.2" x14ac:dyDescent="0.25">
      <c r="D731" s="16"/>
      <c r="E731" s="16"/>
      <c r="F731" s="71"/>
    </row>
    <row r="732" spans="4:6" ht="13.2" x14ac:dyDescent="0.25">
      <c r="D732" s="16"/>
      <c r="E732" s="16"/>
      <c r="F732" s="71"/>
    </row>
    <row r="733" spans="4:6" ht="13.2" x14ac:dyDescent="0.25">
      <c r="D733" s="16"/>
      <c r="E733" s="16"/>
      <c r="F733" s="71"/>
    </row>
    <row r="734" spans="4:6" ht="13.2" x14ac:dyDescent="0.25">
      <c r="D734" s="16"/>
      <c r="E734" s="16"/>
      <c r="F734" s="71"/>
    </row>
    <row r="735" spans="4:6" ht="13.2" x14ac:dyDescent="0.25">
      <c r="D735" s="16"/>
      <c r="E735" s="16"/>
      <c r="F735" s="71"/>
    </row>
    <row r="736" spans="4:6" ht="13.2" x14ac:dyDescent="0.25">
      <c r="D736" s="16"/>
      <c r="E736" s="16"/>
      <c r="F736" s="71"/>
    </row>
    <row r="737" spans="4:6" ht="13.2" x14ac:dyDescent="0.25">
      <c r="D737" s="16"/>
      <c r="E737" s="16"/>
      <c r="F737" s="71"/>
    </row>
    <row r="738" spans="4:6" ht="13.2" x14ac:dyDescent="0.25">
      <c r="D738" s="16"/>
      <c r="E738" s="16"/>
      <c r="F738" s="71"/>
    </row>
    <row r="739" spans="4:6" ht="13.2" x14ac:dyDescent="0.25">
      <c r="D739" s="16"/>
      <c r="E739" s="16"/>
      <c r="F739" s="71"/>
    </row>
    <row r="740" spans="4:6" ht="13.2" x14ac:dyDescent="0.25">
      <c r="D740" s="16"/>
      <c r="E740" s="16"/>
      <c r="F740" s="71"/>
    </row>
    <row r="741" spans="4:6" ht="13.2" x14ac:dyDescent="0.25">
      <c r="D741" s="16"/>
      <c r="E741" s="16"/>
      <c r="F741" s="71"/>
    </row>
    <row r="742" spans="4:6" ht="13.2" x14ac:dyDescent="0.25">
      <c r="D742" s="16"/>
      <c r="E742" s="16"/>
      <c r="F742" s="71"/>
    </row>
    <row r="743" spans="4:6" ht="13.2" x14ac:dyDescent="0.25">
      <c r="D743" s="16"/>
      <c r="E743" s="16"/>
      <c r="F743" s="71"/>
    </row>
    <row r="744" spans="4:6" ht="13.2" x14ac:dyDescent="0.25">
      <c r="D744" s="16"/>
      <c r="E744" s="16"/>
      <c r="F744" s="71"/>
    </row>
    <row r="745" spans="4:6" ht="13.2" x14ac:dyDescent="0.25">
      <c r="D745" s="16"/>
      <c r="E745" s="16"/>
      <c r="F745" s="71"/>
    </row>
    <row r="746" spans="4:6" ht="13.2" x14ac:dyDescent="0.25">
      <c r="D746" s="16"/>
      <c r="E746" s="16"/>
      <c r="F746" s="71"/>
    </row>
    <row r="747" spans="4:6" ht="13.2" x14ac:dyDescent="0.25">
      <c r="D747" s="16"/>
      <c r="E747" s="16"/>
      <c r="F747" s="71"/>
    </row>
    <row r="748" spans="4:6" ht="13.2" x14ac:dyDescent="0.25">
      <c r="D748" s="16"/>
      <c r="E748" s="16"/>
      <c r="F748" s="71"/>
    </row>
    <row r="749" spans="4:6" ht="13.2" x14ac:dyDescent="0.25">
      <c r="D749" s="16"/>
      <c r="E749" s="16"/>
      <c r="F749" s="71"/>
    </row>
    <row r="750" spans="4:6" ht="13.2" x14ac:dyDescent="0.25">
      <c r="D750" s="16"/>
      <c r="E750" s="16"/>
      <c r="F750" s="71"/>
    </row>
    <row r="751" spans="4:6" ht="13.2" x14ac:dyDescent="0.25">
      <c r="D751" s="16"/>
      <c r="E751" s="16"/>
      <c r="F751" s="71"/>
    </row>
    <row r="752" spans="4:6" ht="13.2" x14ac:dyDescent="0.25">
      <c r="D752" s="16"/>
      <c r="E752" s="16"/>
      <c r="F752" s="71"/>
    </row>
    <row r="753" spans="4:6" ht="13.2" x14ac:dyDescent="0.25">
      <c r="D753" s="16"/>
      <c r="E753" s="16"/>
      <c r="F753" s="71"/>
    </row>
    <row r="754" spans="4:6" ht="13.2" x14ac:dyDescent="0.25">
      <c r="D754" s="16"/>
      <c r="E754" s="16"/>
      <c r="F754" s="71"/>
    </row>
    <row r="755" spans="4:6" ht="13.2" x14ac:dyDescent="0.25">
      <c r="D755" s="16"/>
      <c r="E755" s="16"/>
      <c r="F755" s="71"/>
    </row>
    <row r="756" spans="4:6" ht="13.2" x14ac:dyDescent="0.25">
      <c r="D756" s="16"/>
      <c r="E756" s="16"/>
      <c r="F756" s="71"/>
    </row>
    <row r="757" spans="4:6" ht="13.2" x14ac:dyDescent="0.25">
      <c r="D757" s="16"/>
      <c r="E757" s="16"/>
      <c r="F757" s="71"/>
    </row>
    <row r="758" spans="4:6" ht="13.2" x14ac:dyDescent="0.25">
      <c r="D758" s="16"/>
      <c r="E758" s="16"/>
      <c r="F758" s="71"/>
    </row>
    <row r="759" spans="4:6" ht="13.2" x14ac:dyDescent="0.25">
      <c r="D759" s="16"/>
      <c r="E759" s="16"/>
      <c r="F759" s="71"/>
    </row>
    <row r="760" spans="4:6" ht="13.2" x14ac:dyDescent="0.25">
      <c r="D760" s="16"/>
      <c r="E760" s="16"/>
      <c r="F760" s="71"/>
    </row>
    <row r="761" spans="4:6" ht="13.2" x14ac:dyDescent="0.25">
      <c r="D761" s="16"/>
      <c r="E761" s="16"/>
      <c r="F761" s="71"/>
    </row>
    <row r="762" spans="4:6" ht="13.2" x14ac:dyDescent="0.25">
      <c r="D762" s="16"/>
      <c r="E762" s="16"/>
      <c r="F762" s="71"/>
    </row>
    <row r="763" spans="4:6" ht="13.2" x14ac:dyDescent="0.25">
      <c r="D763" s="16"/>
      <c r="E763" s="16"/>
      <c r="F763" s="71"/>
    </row>
    <row r="764" spans="4:6" ht="13.2" x14ac:dyDescent="0.25">
      <c r="D764" s="16"/>
      <c r="E764" s="16"/>
      <c r="F764" s="71"/>
    </row>
    <row r="765" spans="4:6" ht="13.2" x14ac:dyDescent="0.25">
      <c r="D765" s="16"/>
      <c r="E765" s="16"/>
      <c r="F765" s="71"/>
    </row>
    <row r="766" spans="4:6" ht="13.2" x14ac:dyDescent="0.25">
      <c r="D766" s="16"/>
      <c r="E766" s="16"/>
      <c r="F766" s="71"/>
    </row>
    <row r="767" spans="4:6" ht="13.2" x14ac:dyDescent="0.25">
      <c r="D767" s="16"/>
      <c r="E767" s="16"/>
      <c r="F767" s="71"/>
    </row>
    <row r="768" spans="4:6" ht="13.2" x14ac:dyDescent="0.25">
      <c r="D768" s="16"/>
      <c r="E768" s="16"/>
      <c r="F768" s="71"/>
    </row>
    <row r="769" spans="4:6" ht="13.2" x14ac:dyDescent="0.25">
      <c r="D769" s="16"/>
      <c r="E769" s="16"/>
      <c r="F769" s="71"/>
    </row>
    <row r="770" spans="4:6" ht="13.2" x14ac:dyDescent="0.25">
      <c r="D770" s="16"/>
      <c r="E770" s="16"/>
      <c r="F770" s="71"/>
    </row>
    <row r="771" spans="4:6" ht="13.2" x14ac:dyDescent="0.25">
      <c r="D771" s="16"/>
      <c r="E771" s="16"/>
      <c r="F771" s="71"/>
    </row>
    <row r="772" spans="4:6" ht="13.2" x14ac:dyDescent="0.25">
      <c r="D772" s="16"/>
      <c r="E772" s="16"/>
      <c r="F772" s="71"/>
    </row>
    <row r="773" spans="4:6" ht="13.2" x14ac:dyDescent="0.25">
      <c r="D773" s="16"/>
      <c r="E773" s="16"/>
      <c r="F773" s="71"/>
    </row>
    <row r="774" spans="4:6" ht="13.2" x14ac:dyDescent="0.25">
      <c r="D774" s="16"/>
      <c r="E774" s="16"/>
      <c r="F774" s="71"/>
    </row>
    <row r="775" spans="4:6" ht="13.2" x14ac:dyDescent="0.25">
      <c r="D775" s="16"/>
      <c r="E775" s="16"/>
      <c r="F775" s="71"/>
    </row>
    <row r="776" spans="4:6" ht="13.2" x14ac:dyDescent="0.25">
      <c r="D776" s="16"/>
      <c r="E776" s="16"/>
      <c r="F776" s="71"/>
    </row>
    <row r="777" spans="4:6" ht="13.2" x14ac:dyDescent="0.25">
      <c r="D777" s="16"/>
      <c r="E777" s="16"/>
      <c r="F777" s="71"/>
    </row>
    <row r="778" spans="4:6" ht="13.2" x14ac:dyDescent="0.25">
      <c r="D778" s="16"/>
      <c r="E778" s="16"/>
      <c r="F778" s="71"/>
    </row>
    <row r="779" spans="4:6" ht="13.2" x14ac:dyDescent="0.25">
      <c r="D779" s="16"/>
      <c r="E779" s="16"/>
      <c r="F779" s="71"/>
    </row>
    <row r="780" spans="4:6" ht="13.2" x14ac:dyDescent="0.25">
      <c r="D780" s="16"/>
      <c r="E780" s="16"/>
      <c r="F780" s="71"/>
    </row>
    <row r="781" spans="4:6" ht="13.2" x14ac:dyDescent="0.25">
      <c r="D781" s="16"/>
      <c r="E781" s="16"/>
      <c r="F781" s="71"/>
    </row>
    <row r="782" spans="4:6" ht="13.2" x14ac:dyDescent="0.25">
      <c r="D782" s="16"/>
      <c r="E782" s="16"/>
      <c r="F782" s="71"/>
    </row>
    <row r="783" spans="4:6" ht="13.2" x14ac:dyDescent="0.25">
      <c r="D783" s="16"/>
      <c r="E783" s="16"/>
      <c r="F783" s="71"/>
    </row>
    <row r="784" spans="4:6" ht="13.2" x14ac:dyDescent="0.25">
      <c r="D784" s="16"/>
      <c r="E784" s="16"/>
      <c r="F784" s="71"/>
    </row>
    <row r="785" spans="4:6" ht="13.2" x14ac:dyDescent="0.25">
      <c r="D785" s="16"/>
      <c r="E785" s="16"/>
      <c r="F785" s="71"/>
    </row>
    <row r="786" spans="4:6" ht="13.2" x14ac:dyDescent="0.25">
      <c r="D786" s="16"/>
      <c r="E786" s="16"/>
      <c r="F786" s="71"/>
    </row>
    <row r="787" spans="4:6" ht="13.2" x14ac:dyDescent="0.25">
      <c r="D787" s="16"/>
      <c r="E787" s="16"/>
      <c r="F787" s="71"/>
    </row>
    <row r="788" spans="4:6" ht="13.2" x14ac:dyDescent="0.25">
      <c r="D788" s="16"/>
      <c r="E788" s="16"/>
      <c r="F788" s="71"/>
    </row>
    <row r="789" spans="4:6" ht="13.2" x14ac:dyDescent="0.25">
      <c r="D789" s="16"/>
      <c r="E789" s="16"/>
      <c r="F789" s="71"/>
    </row>
    <row r="790" spans="4:6" ht="13.2" x14ac:dyDescent="0.25">
      <c r="D790" s="16"/>
      <c r="E790" s="16"/>
      <c r="F790" s="71"/>
    </row>
    <row r="791" spans="4:6" ht="13.2" x14ac:dyDescent="0.25">
      <c r="D791" s="16"/>
      <c r="E791" s="16"/>
      <c r="F791" s="71"/>
    </row>
    <row r="792" spans="4:6" ht="13.2" x14ac:dyDescent="0.25">
      <c r="D792" s="16"/>
      <c r="E792" s="16"/>
      <c r="F792" s="71"/>
    </row>
    <row r="793" spans="4:6" ht="13.2" x14ac:dyDescent="0.25">
      <c r="D793" s="16"/>
      <c r="E793" s="16"/>
      <c r="F793" s="71"/>
    </row>
    <row r="794" spans="4:6" ht="13.2" x14ac:dyDescent="0.25">
      <c r="D794" s="16"/>
      <c r="E794" s="16"/>
      <c r="F794" s="71"/>
    </row>
    <row r="795" spans="4:6" ht="13.2" x14ac:dyDescent="0.25">
      <c r="D795" s="16"/>
      <c r="E795" s="16"/>
      <c r="F795" s="71"/>
    </row>
    <row r="796" spans="4:6" ht="13.2" x14ac:dyDescent="0.25">
      <c r="D796" s="16"/>
      <c r="E796" s="16"/>
      <c r="F796" s="71"/>
    </row>
    <row r="797" spans="4:6" ht="13.2" x14ac:dyDescent="0.25">
      <c r="D797" s="16"/>
      <c r="E797" s="16"/>
      <c r="F797" s="71"/>
    </row>
    <row r="798" spans="4:6" ht="13.2" x14ac:dyDescent="0.25">
      <c r="D798" s="16"/>
      <c r="E798" s="16"/>
      <c r="F798" s="71"/>
    </row>
    <row r="799" spans="4:6" ht="13.2" x14ac:dyDescent="0.25">
      <c r="D799" s="16"/>
      <c r="E799" s="16"/>
      <c r="F799" s="71"/>
    </row>
    <row r="800" spans="4:6" ht="13.2" x14ac:dyDescent="0.25">
      <c r="D800" s="16"/>
      <c r="E800" s="16"/>
      <c r="F800" s="71"/>
    </row>
    <row r="801" spans="4:6" ht="13.2" x14ac:dyDescent="0.25">
      <c r="D801" s="16"/>
      <c r="E801" s="16"/>
      <c r="F801" s="71"/>
    </row>
    <row r="802" spans="4:6" ht="13.2" x14ac:dyDescent="0.25">
      <c r="D802" s="16"/>
      <c r="E802" s="16"/>
      <c r="F802" s="71"/>
    </row>
    <row r="803" spans="4:6" ht="13.2" x14ac:dyDescent="0.25">
      <c r="D803" s="16"/>
      <c r="E803" s="16"/>
      <c r="F803" s="71"/>
    </row>
    <row r="804" spans="4:6" ht="13.2" x14ac:dyDescent="0.25">
      <c r="D804" s="16"/>
      <c r="E804" s="16"/>
      <c r="F804" s="71"/>
    </row>
    <row r="805" spans="4:6" ht="13.2" x14ac:dyDescent="0.25">
      <c r="D805" s="16"/>
      <c r="E805" s="16"/>
      <c r="F805" s="71"/>
    </row>
    <row r="806" spans="4:6" ht="13.2" x14ac:dyDescent="0.25">
      <c r="D806" s="16"/>
      <c r="E806" s="16"/>
      <c r="F806" s="71"/>
    </row>
    <row r="807" spans="4:6" ht="13.2" x14ac:dyDescent="0.25">
      <c r="D807" s="16"/>
      <c r="E807" s="16"/>
      <c r="F807" s="71"/>
    </row>
    <row r="808" spans="4:6" ht="13.2" x14ac:dyDescent="0.25">
      <c r="D808" s="16"/>
      <c r="E808" s="16"/>
      <c r="F808" s="71"/>
    </row>
    <row r="809" spans="4:6" ht="13.2" x14ac:dyDescent="0.25">
      <c r="D809" s="16"/>
      <c r="E809" s="16"/>
      <c r="F809" s="71"/>
    </row>
    <row r="810" spans="4:6" ht="13.2" x14ac:dyDescent="0.25">
      <c r="D810" s="16"/>
      <c r="E810" s="16"/>
      <c r="F810" s="71"/>
    </row>
    <row r="811" spans="4:6" ht="13.2" x14ac:dyDescent="0.25">
      <c r="D811" s="16"/>
      <c r="E811" s="16"/>
      <c r="F811" s="71"/>
    </row>
    <row r="812" spans="4:6" ht="13.2" x14ac:dyDescent="0.25">
      <c r="D812" s="16"/>
      <c r="E812" s="16"/>
      <c r="F812" s="71"/>
    </row>
    <row r="813" spans="4:6" ht="13.2" x14ac:dyDescent="0.25">
      <c r="D813" s="16"/>
      <c r="E813" s="16"/>
      <c r="F813" s="71"/>
    </row>
    <row r="814" spans="4:6" ht="13.2" x14ac:dyDescent="0.25">
      <c r="D814" s="16"/>
      <c r="E814" s="16"/>
      <c r="F814" s="71"/>
    </row>
    <row r="815" spans="4:6" ht="13.2" x14ac:dyDescent="0.25">
      <c r="D815" s="16"/>
      <c r="E815" s="16"/>
      <c r="F815" s="71"/>
    </row>
    <row r="816" spans="4:6" ht="13.2" x14ac:dyDescent="0.25">
      <c r="D816" s="16"/>
      <c r="E816" s="16"/>
      <c r="F816" s="71"/>
    </row>
    <row r="817" spans="4:6" ht="13.2" x14ac:dyDescent="0.25">
      <c r="D817" s="16"/>
      <c r="E817" s="16"/>
      <c r="F817" s="71"/>
    </row>
    <row r="818" spans="4:6" ht="13.2" x14ac:dyDescent="0.25">
      <c r="D818" s="16"/>
      <c r="E818" s="16"/>
      <c r="F818" s="71"/>
    </row>
    <row r="819" spans="4:6" ht="13.2" x14ac:dyDescent="0.25">
      <c r="D819" s="16"/>
      <c r="E819" s="16"/>
      <c r="F819" s="71"/>
    </row>
    <row r="820" spans="4:6" ht="13.2" x14ac:dyDescent="0.25">
      <c r="D820" s="16"/>
      <c r="E820" s="16"/>
      <c r="F820" s="71"/>
    </row>
    <row r="821" spans="4:6" ht="13.2" x14ac:dyDescent="0.25">
      <c r="D821" s="16"/>
      <c r="E821" s="16"/>
      <c r="F821" s="71"/>
    </row>
    <row r="822" spans="4:6" ht="13.2" x14ac:dyDescent="0.25">
      <c r="D822" s="16"/>
      <c r="E822" s="16"/>
      <c r="F822" s="71"/>
    </row>
    <row r="823" spans="4:6" ht="13.2" x14ac:dyDescent="0.25">
      <c r="D823" s="16"/>
      <c r="E823" s="16"/>
      <c r="F823" s="71"/>
    </row>
    <row r="824" spans="4:6" ht="13.2" x14ac:dyDescent="0.25">
      <c r="D824" s="16"/>
      <c r="E824" s="16"/>
      <c r="F824" s="71"/>
    </row>
    <row r="825" spans="4:6" ht="13.2" x14ac:dyDescent="0.25">
      <c r="D825" s="16"/>
      <c r="E825" s="16"/>
      <c r="F825" s="71"/>
    </row>
    <row r="826" spans="4:6" ht="13.2" x14ac:dyDescent="0.25">
      <c r="D826" s="16"/>
      <c r="E826" s="16"/>
      <c r="F826" s="71"/>
    </row>
    <row r="827" spans="4:6" ht="13.2" x14ac:dyDescent="0.25">
      <c r="D827" s="16"/>
      <c r="E827" s="16"/>
      <c r="F827" s="71"/>
    </row>
    <row r="828" spans="4:6" ht="13.2" x14ac:dyDescent="0.25">
      <c r="D828" s="16"/>
      <c r="E828" s="16"/>
      <c r="F828" s="71"/>
    </row>
    <row r="829" spans="4:6" ht="13.2" x14ac:dyDescent="0.25">
      <c r="D829" s="16"/>
      <c r="E829" s="16"/>
      <c r="F829" s="71"/>
    </row>
    <row r="830" spans="4:6" ht="13.2" x14ac:dyDescent="0.25">
      <c r="D830" s="16"/>
      <c r="E830" s="16"/>
      <c r="F830" s="71"/>
    </row>
    <row r="831" spans="4:6" ht="13.2" x14ac:dyDescent="0.25">
      <c r="D831" s="16"/>
      <c r="E831" s="16"/>
      <c r="F831" s="71"/>
    </row>
    <row r="832" spans="4:6" ht="13.2" x14ac:dyDescent="0.25">
      <c r="D832" s="16"/>
      <c r="E832" s="16"/>
      <c r="F832" s="71"/>
    </row>
    <row r="833" spans="4:6" ht="13.2" x14ac:dyDescent="0.25">
      <c r="D833" s="16"/>
      <c r="E833" s="16"/>
      <c r="F833" s="71"/>
    </row>
    <row r="834" spans="4:6" ht="13.2" x14ac:dyDescent="0.25">
      <c r="D834" s="16"/>
      <c r="E834" s="16"/>
      <c r="F834" s="71"/>
    </row>
    <row r="835" spans="4:6" ht="13.2" x14ac:dyDescent="0.25">
      <c r="D835" s="16"/>
      <c r="E835" s="16"/>
      <c r="F835" s="71"/>
    </row>
    <row r="836" spans="4:6" ht="13.2" x14ac:dyDescent="0.25">
      <c r="D836" s="16"/>
      <c r="E836" s="16"/>
      <c r="F836" s="71"/>
    </row>
    <row r="837" spans="4:6" ht="13.2" x14ac:dyDescent="0.25">
      <c r="D837" s="16"/>
      <c r="E837" s="16"/>
      <c r="F837" s="71"/>
    </row>
    <row r="838" spans="4:6" ht="13.2" x14ac:dyDescent="0.25">
      <c r="D838" s="16"/>
      <c r="E838" s="16"/>
      <c r="F838" s="71"/>
    </row>
    <row r="839" spans="4:6" ht="13.2" x14ac:dyDescent="0.25">
      <c r="D839" s="16"/>
      <c r="E839" s="16"/>
      <c r="F839" s="71"/>
    </row>
    <row r="840" spans="4:6" ht="13.2" x14ac:dyDescent="0.25">
      <c r="D840" s="16"/>
      <c r="E840" s="16"/>
      <c r="F840" s="71"/>
    </row>
    <row r="841" spans="4:6" ht="13.2" x14ac:dyDescent="0.25">
      <c r="D841" s="16"/>
      <c r="E841" s="16"/>
      <c r="F841" s="71"/>
    </row>
    <row r="842" spans="4:6" ht="13.2" x14ac:dyDescent="0.25">
      <c r="D842" s="16"/>
      <c r="E842" s="16"/>
      <c r="F842" s="71"/>
    </row>
    <row r="843" spans="4:6" ht="13.2" x14ac:dyDescent="0.25">
      <c r="D843" s="16"/>
      <c r="E843" s="16"/>
      <c r="F843" s="71"/>
    </row>
    <row r="844" spans="4:6" ht="13.2" x14ac:dyDescent="0.25">
      <c r="D844" s="16"/>
      <c r="E844" s="16"/>
      <c r="F844" s="71"/>
    </row>
    <row r="845" spans="4:6" ht="13.2" x14ac:dyDescent="0.25">
      <c r="D845" s="16"/>
      <c r="E845" s="16"/>
      <c r="F845" s="71"/>
    </row>
    <row r="846" spans="4:6" ht="13.2" x14ac:dyDescent="0.25">
      <c r="D846" s="16"/>
      <c r="E846" s="16"/>
      <c r="F846" s="71"/>
    </row>
    <row r="847" spans="4:6" ht="13.2" x14ac:dyDescent="0.25">
      <c r="D847" s="16"/>
      <c r="E847" s="16"/>
      <c r="F847" s="71"/>
    </row>
    <row r="848" spans="4:6" ht="13.2" x14ac:dyDescent="0.25">
      <c r="D848" s="16"/>
      <c r="E848" s="16"/>
      <c r="F848" s="71"/>
    </row>
    <row r="849" spans="4:6" ht="13.2" x14ac:dyDescent="0.25">
      <c r="D849" s="16"/>
      <c r="E849" s="16"/>
      <c r="F849" s="71"/>
    </row>
    <row r="850" spans="4:6" ht="13.2" x14ac:dyDescent="0.25">
      <c r="D850" s="16"/>
      <c r="E850" s="16"/>
      <c r="F850" s="71"/>
    </row>
    <row r="851" spans="4:6" ht="13.2" x14ac:dyDescent="0.25">
      <c r="D851" s="16"/>
      <c r="E851" s="16"/>
      <c r="F851" s="71"/>
    </row>
    <row r="852" spans="4:6" ht="13.2" x14ac:dyDescent="0.25">
      <c r="D852" s="16"/>
      <c r="E852" s="16"/>
      <c r="F852" s="71"/>
    </row>
    <row r="853" spans="4:6" ht="13.2" x14ac:dyDescent="0.25">
      <c r="D853" s="16"/>
      <c r="E853" s="16"/>
      <c r="F853" s="71"/>
    </row>
    <row r="854" spans="4:6" ht="13.2" x14ac:dyDescent="0.25">
      <c r="D854" s="16"/>
      <c r="E854" s="16"/>
      <c r="F854" s="71"/>
    </row>
    <row r="855" spans="4:6" ht="13.2" x14ac:dyDescent="0.25">
      <c r="D855" s="16"/>
      <c r="E855" s="16"/>
      <c r="F855" s="71"/>
    </row>
    <row r="856" spans="4:6" ht="13.2" x14ac:dyDescent="0.25">
      <c r="D856" s="16"/>
      <c r="E856" s="16"/>
      <c r="F856" s="71"/>
    </row>
    <row r="857" spans="4:6" ht="13.2" x14ac:dyDescent="0.25">
      <c r="D857" s="16"/>
      <c r="E857" s="16"/>
      <c r="F857" s="71"/>
    </row>
    <row r="858" spans="4:6" ht="13.2" x14ac:dyDescent="0.25">
      <c r="D858" s="16"/>
      <c r="E858" s="16"/>
      <c r="F858" s="71"/>
    </row>
    <row r="859" spans="4:6" ht="13.2" x14ac:dyDescent="0.25">
      <c r="D859" s="16"/>
      <c r="E859" s="16"/>
      <c r="F859" s="71"/>
    </row>
    <row r="860" spans="4:6" ht="13.2" x14ac:dyDescent="0.25">
      <c r="D860" s="16"/>
      <c r="E860" s="16"/>
      <c r="F860" s="71"/>
    </row>
    <row r="861" spans="4:6" ht="13.2" x14ac:dyDescent="0.25">
      <c r="D861" s="16"/>
      <c r="E861" s="16"/>
      <c r="F861" s="71"/>
    </row>
    <row r="862" spans="4:6" ht="13.2" x14ac:dyDescent="0.25">
      <c r="D862" s="16"/>
      <c r="E862" s="16"/>
      <c r="F862" s="71"/>
    </row>
    <row r="863" spans="4:6" ht="13.2" x14ac:dyDescent="0.25">
      <c r="D863" s="16"/>
      <c r="E863" s="16"/>
      <c r="F863" s="71"/>
    </row>
    <row r="864" spans="4:6" ht="13.2" x14ac:dyDescent="0.25">
      <c r="D864" s="16"/>
      <c r="E864" s="16"/>
      <c r="F864" s="71"/>
    </row>
    <row r="865" spans="4:6" ht="13.2" x14ac:dyDescent="0.25">
      <c r="D865" s="16"/>
      <c r="E865" s="16"/>
      <c r="F865" s="71"/>
    </row>
    <row r="866" spans="4:6" ht="13.2" x14ac:dyDescent="0.25">
      <c r="D866" s="16"/>
      <c r="E866" s="16"/>
      <c r="F866" s="71"/>
    </row>
    <row r="867" spans="4:6" ht="13.2" x14ac:dyDescent="0.25">
      <c r="D867" s="16"/>
      <c r="E867" s="16"/>
      <c r="F867" s="71"/>
    </row>
    <row r="868" spans="4:6" ht="13.2" x14ac:dyDescent="0.25">
      <c r="D868" s="16"/>
      <c r="E868" s="16"/>
      <c r="F868" s="71"/>
    </row>
    <row r="869" spans="4:6" ht="13.2" x14ac:dyDescent="0.25">
      <c r="D869" s="16"/>
      <c r="E869" s="16"/>
      <c r="F869" s="71"/>
    </row>
    <row r="870" spans="4:6" ht="13.2" x14ac:dyDescent="0.25">
      <c r="D870" s="16"/>
      <c r="E870" s="16"/>
      <c r="F870" s="71"/>
    </row>
    <row r="871" spans="4:6" ht="13.2" x14ac:dyDescent="0.25">
      <c r="D871" s="16"/>
      <c r="E871" s="16"/>
      <c r="F871" s="71"/>
    </row>
    <row r="872" spans="4:6" ht="13.2" x14ac:dyDescent="0.25">
      <c r="D872" s="16"/>
      <c r="E872" s="16"/>
      <c r="F872" s="71"/>
    </row>
    <row r="873" spans="4:6" ht="13.2" x14ac:dyDescent="0.25">
      <c r="D873" s="16"/>
      <c r="E873" s="16"/>
      <c r="F873" s="71"/>
    </row>
    <row r="874" spans="4:6" ht="13.2" x14ac:dyDescent="0.25">
      <c r="D874" s="16"/>
      <c r="E874" s="16"/>
      <c r="F874" s="71"/>
    </row>
    <row r="875" spans="4:6" ht="13.2" x14ac:dyDescent="0.25">
      <c r="D875" s="16"/>
      <c r="E875" s="16"/>
      <c r="F875" s="71"/>
    </row>
    <row r="876" spans="4:6" ht="13.2" x14ac:dyDescent="0.25">
      <c r="D876" s="16"/>
      <c r="E876" s="16"/>
      <c r="F876" s="71"/>
    </row>
    <row r="877" spans="4:6" ht="13.2" x14ac:dyDescent="0.25">
      <c r="D877" s="16"/>
      <c r="E877" s="16"/>
      <c r="F877" s="71"/>
    </row>
    <row r="878" spans="4:6" ht="13.2" x14ac:dyDescent="0.25">
      <c r="D878" s="16"/>
      <c r="E878" s="16"/>
      <c r="F878" s="71"/>
    </row>
    <row r="879" spans="4:6" ht="13.2" x14ac:dyDescent="0.25">
      <c r="D879" s="16"/>
      <c r="E879" s="16"/>
      <c r="F879" s="71"/>
    </row>
    <row r="880" spans="4:6" ht="13.2" x14ac:dyDescent="0.25">
      <c r="D880" s="16"/>
      <c r="E880" s="16"/>
      <c r="F880" s="71"/>
    </row>
    <row r="881" spans="4:6" ht="13.2" x14ac:dyDescent="0.25">
      <c r="D881" s="16"/>
      <c r="E881" s="16"/>
      <c r="F881" s="71"/>
    </row>
    <row r="882" spans="4:6" ht="13.2" x14ac:dyDescent="0.25">
      <c r="D882" s="16"/>
      <c r="E882" s="16"/>
      <c r="F882" s="71"/>
    </row>
    <row r="883" spans="4:6" ht="13.2" x14ac:dyDescent="0.25">
      <c r="D883" s="16"/>
      <c r="E883" s="16"/>
      <c r="F883" s="71"/>
    </row>
    <row r="884" spans="4:6" ht="13.2" x14ac:dyDescent="0.25">
      <c r="D884" s="16"/>
      <c r="E884" s="16"/>
      <c r="F884" s="71"/>
    </row>
    <row r="885" spans="4:6" ht="13.2" x14ac:dyDescent="0.25">
      <c r="D885" s="16"/>
      <c r="E885" s="16"/>
      <c r="F885" s="71"/>
    </row>
    <row r="886" spans="4:6" ht="13.2" x14ac:dyDescent="0.25">
      <c r="D886" s="16"/>
      <c r="E886" s="16"/>
      <c r="F886" s="71"/>
    </row>
    <row r="887" spans="4:6" ht="13.2" x14ac:dyDescent="0.25">
      <c r="D887" s="16"/>
      <c r="E887" s="16"/>
      <c r="F887" s="71"/>
    </row>
    <row r="888" spans="4:6" ht="13.2" x14ac:dyDescent="0.25">
      <c r="D888" s="16"/>
      <c r="E888" s="16"/>
      <c r="F888" s="71"/>
    </row>
    <row r="889" spans="4:6" ht="13.2" x14ac:dyDescent="0.25">
      <c r="D889" s="16"/>
      <c r="E889" s="16"/>
      <c r="F889" s="71"/>
    </row>
    <row r="890" spans="4:6" ht="13.2" x14ac:dyDescent="0.25">
      <c r="D890" s="16"/>
      <c r="E890" s="16"/>
      <c r="F890" s="71"/>
    </row>
    <row r="891" spans="4:6" ht="13.2" x14ac:dyDescent="0.25">
      <c r="D891" s="16"/>
      <c r="E891" s="16"/>
      <c r="F891" s="71"/>
    </row>
    <row r="892" spans="4:6" ht="13.2" x14ac:dyDescent="0.25">
      <c r="D892" s="16"/>
      <c r="E892" s="16"/>
      <c r="F892" s="71"/>
    </row>
    <row r="893" spans="4:6" ht="13.2" x14ac:dyDescent="0.25">
      <c r="D893" s="16"/>
      <c r="E893" s="16"/>
      <c r="F893" s="71"/>
    </row>
    <row r="894" spans="4:6" ht="13.2" x14ac:dyDescent="0.25">
      <c r="D894" s="16"/>
      <c r="E894" s="16"/>
      <c r="F894" s="71"/>
    </row>
    <row r="895" spans="4:6" ht="13.2" x14ac:dyDescent="0.25">
      <c r="D895" s="16"/>
      <c r="E895" s="16"/>
      <c r="F895" s="71"/>
    </row>
    <row r="896" spans="4:6" ht="13.2" x14ac:dyDescent="0.25">
      <c r="D896" s="16"/>
      <c r="E896" s="16"/>
      <c r="F896" s="71"/>
    </row>
    <row r="897" spans="4:6" ht="13.2" x14ac:dyDescent="0.25">
      <c r="D897" s="16"/>
      <c r="E897" s="16"/>
      <c r="F897" s="71"/>
    </row>
    <row r="898" spans="4:6" ht="13.2" x14ac:dyDescent="0.25">
      <c r="D898" s="16"/>
      <c r="E898" s="16"/>
      <c r="F898" s="71"/>
    </row>
    <row r="899" spans="4:6" ht="13.2" x14ac:dyDescent="0.25">
      <c r="D899" s="16"/>
      <c r="E899" s="16"/>
      <c r="F899" s="71"/>
    </row>
    <row r="900" spans="4:6" ht="13.2" x14ac:dyDescent="0.25">
      <c r="D900" s="16"/>
      <c r="E900" s="16"/>
      <c r="F900" s="71"/>
    </row>
    <row r="901" spans="4:6" ht="13.2" x14ac:dyDescent="0.25">
      <c r="D901" s="16"/>
      <c r="E901" s="16"/>
      <c r="F901" s="71"/>
    </row>
    <row r="902" spans="4:6" ht="13.2" x14ac:dyDescent="0.25">
      <c r="D902" s="16"/>
      <c r="E902" s="16"/>
      <c r="F902" s="71"/>
    </row>
    <row r="903" spans="4:6" ht="13.2" x14ac:dyDescent="0.25">
      <c r="D903" s="16"/>
      <c r="E903" s="16"/>
      <c r="F903" s="71"/>
    </row>
    <row r="904" spans="4:6" ht="13.2" x14ac:dyDescent="0.25">
      <c r="D904" s="16"/>
      <c r="E904" s="16"/>
      <c r="F904" s="71"/>
    </row>
    <row r="905" spans="4:6" ht="13.2" x14ac:dyDescent="0.25">
      <c r="D905" s="16"/>
      <c r="E905" s="16"/>
      <c r="F905" s="71"/>
    </row>
    <row r="906" spans="4:6" ht="13.2" x14ac:dyDescent="0.25">
      <c r="D906" s="16"/>
      <c r="E906" s="16"/>
      <c r="F906" s="71"/>
    </row>
    <row r="907" spans="4:6" ht="13.2" x14ac:dyDescent="0.25">
      <c r="D907" s="16"/>
      <c r="E907" s="16"/>
      <c r="F907" s="71"/>
    </row>
    <row r="908" spans="4:6" ht="13.2" x14ac:dyDescent="0.25">
      <c r="D908" s="16"/>
      <c r="E908" s="16"/>
      <c r="F908" s="71"/>
    </row>
    <row r="909" spans="4:6" ht="13.2" x14ac:dyDescent="0.25">
      <c r="D909" s="16"/>
      <c r="E909" s="16"/>
      <c r="F909" s="71"/>
    </row>
    <row r="910" spans="4:6" ht="13.2" x14ac:dyDescent="0.25">
      <c r="D910" s="16"/>
      <c r="E910" s="16"/>
      <c r="F910" s="71"/>
    </row>
    <row r="911" spans="4:6" ht="13.2" x14ac:dyDescent="0.25">
      <c r="D911" s="16"/>
      <c r="E911" s="16"/>
      <c r="F911" s="71"/>
    </row>
    <row r="912" spans="4:6" ht="13.2" x14ac:dyDescent="0.25">
      <c r="D912" s="16"/>
      <c r="E912" s="16"/>
      <c r="F912" s="71"/>
    </row>
    <row r="913" spans="4:6" ht="13.2" x14ac:dyDescent="0.25">
      <c r="D913" s="16"/>
      <c r="E913" s="16"/>
      <c r="F913" s="71"/>
    </row>
    <row r="914" spans="4:6" ht="13.2" x14ac:dyDescent="0.25">
      <c r="D914" s="16"/>
      <c r="E914" s="16"/>
      <c r="F914" s="71"/>
    </row>
    <row r="915" spans="4:6" ht="13.2" x14ac:dyDescent="0.25">
      <c r="D915" s="16"/>
      <c r="E915" s="16"/>
      <c r="F915" s="71"/>
    </row>
    <row r="916" spans="4:6" ht="13.2" x14ac:dyDescent="0.25">
      <c r="D916" s="16"/>
      <c r="E916" s="16"/>
      <c r="F916" s="71"/>
    </row>
    <row r="917" spans="4:6" ht="13.2" x14ac:dyDescent="0.25">
      <c r="D917" s="16"/>
      <c r="E917" s="16"/>
      <c r="F917" s="71"/>
    </row>
    <row r="918" spans="4:6" ht="13.2" x14ac:dyDescent="0.25">
      <c r="D918" s="16"/>
      <c r="E918" s="16"/>
      <c r="F918" s="71"/>
    </row>
    <row r="919" spans="4:6" ht="13.2" x14ac:dyDescent="0.25">
      <c r="D919" s="16"/>
      <c r="E919" s="16"/>
      <c r="F919" s="71"/>
    </row>
    <row r="920" spans="4:6" ht="13.2" x14ac:dyDescent="0.25">
      <c r="D920" s="16"/>
      <c r="E920" s="16"/>
      <c r="F920" s="71"/>
    </row>
    <row r="921" spans="4:6" ht="13.2" x14ac:dyDescent="0.25">
      <c r="D921" s="16"/>
      <c r="E921" s="16"/>
      <c r="F921" s="71"/>
    </row>
    <row r="922" spans="4:6" ht="13.2" x14ac:dyDescent="0.25">
      <c r="D922" s="16"/>
      <c r="E922" s="16"/>
      <c r="F922" s="71"/>
    </row>
    <row r="923" spans="4:6" ht="13.2" x14ac:dyDescent="0.25">
      <c r="D923" s="16"/>
      <c r="E923" s="16"/>
      <c r="F923" s="71"/>
    </row>
    <row r="924" spans="4:6" ht="13.2" x14ac:dyDescent="0.25">
      <c r="D924" s="16"/>
      <c r="E924" s="16"/>
      <c r="F924" s="71"/>
    </row>
    <row r="925" spans="4:6" ht="13.2" x14ac:dyDescent="0.25">
      <c r="D925" s="16"/>
      <c r="E925" s="16"/>
      <c r="F925" s="71"/>
    </row>
    <row r="926" spans="4:6" ht="13.2" x14ac:dyDescent="0.25">
      <c r="D926" s="16"/>
      <c r="E926" s="16"/>
      <c r="F926" s="71"/>
    </row>
    <row r="927" spans="4:6" ht="13.2" x14ac:dyDescent="0.25">
      <c r="D927" s="16"/>
      <c r="E927" s="16"/>
      <c r="F927" s="71"/>
    </row>
    <row r="928" spans="4:6" ht="13.2" x14ac:dyDescent="0.25">
      <c r="D928" s="16"/>
      <c r="E928" s="16"/>
      <c r="F928" s="71"/>
    </row>
    <row r="929" spans="4:6" ht="13.2" x14ac:dyDescent="0.25">
      <c r="D929" s="16"/>
      <c r="E929" s="16"/>
      <c r="F929" s="71"/>
    </row>
    <row r="930" spans="4:6" ht="13.2" x14ac:dyDescent="0.25">
      <c r="D930" s="16"/>
      <c r="E930" s="16"/>
      <c r="F930" s="71"/>
    </row>
    <row r="931" spans="4:6" ht="13.2" x14ac:dyDescent="0.25">
      <c r="D931" s="16"/>
      <c r="E931" s="16"/>
      <c r="F931" s="71"/>
    </row>
    <row r="932" spans="4:6" ht="13.2" x14ac:dyDescent="0.25">
      <c r="D932" s="16"/>
      <c r="E932" s="16"/>
      <c r="F932" s="71"/>
    </row>
    <row r="933" spans="4:6" ht="13.2" x14ac:dyDescent="0.25">
      <c r="D933" s="16"/>
      <c r="E933" s="16"/>
      <c r="F933" s="71"/>
    </row>
    <row r="934" spans="4:6" ht="13.2" x14ac:dyDescent="0.25">
      <c r="D934" s="16"/>
      <c r="E934" s="16"/>
      <c r="F934" s="71"/>
    </row>
    <row r="935" spans="4:6" ht="13.2" x14ac:dyDescent="0.25">
      <c r="D935" s="16"/>
      <c r="E935" s="16"/>
      <c r="F935" s="71"/>
    </row>
    <row r="936" spans="4:6" ht="13.2" x14ac:dyDescent="0.25">
      <c r="D936" s="16"/>
      <c r="E936" s="16"/>
      <c r="F936" s="71"/>
    </row>
    <row r="937" spans="4:6" ht="13.2" x14ac:dyDescent="0.25">
      <c r="D937" s="16"/>
      <c r="E937" s="16"/>
      <c r="F937" s="71"/>
    </row>
    <row r="938" spans="4:6" ht="13.2" x14ac:dyDescent="0.25">
      <c r="D938" s="16"/>
      <c r="E938" s="16"/>
      <c r="F938" s="71"/>
    </row>
    <row r="939" spans="4:6" ht="13.2" x14ac:dyDescent="0.25">
      <c r="D939" s="16"/>
      <c r="E939" s="16"/>
      <c r="F939" s="71"/>
    </row>
    <row r="940" spans="4:6" ht="13.2" x14ac:dyDescent="0.25">
      <c r="D940" s="16"/>
      <c r="E940" s="16"/>
      <c r="F940" s="71"/>
    </row>
    <row r="941" spans="4:6" ht="13.2" x14ac:dyDescent="0.25">
      <c r="D941" s="16"/>
      <c r="E941" s="16"/>
      <c r="F941" s="71"/>
    </row>
    <row r="942" spans="4:6" ht="13.2" x14ac:dyDescent="0.25">
      <c r="D942" s="16"/>
      <c r="E942" s="16"/>
      <c r="F942" s="71"/>
    </row>
    <row r="943" spans="4:6" ht="13.2" x14ac:dyDescent="0.25">
      <c r="D943" s="16"/>
      <c r="E943" s="16"/>
      <c r="F943" s="71"/>
    </row>
    <row r="944" spans="4:6" ht="13.2" x14ac:dyDescent="0.25">
      <c r="D944" s="16"/>
      <c r="E944" s="16"/>
      <c r="F944" s="71"/>
    </row>
    <row r="945" spans="4:6" ht="13.2" x14ac:dyDescent="0.25">
      <c r="D945" s="16"/>
      <c r="E945" s="16"/>
      <c r="F945" s="71"/>
    </row>
    <row r="946" spans="4:6" ht="13.2" x14ac:dyDescent="0.25">
      <c r="D946" s="16"/>
      <c r="E946" s="16"/>
      <c r="F946" s="71"/>
    </row>
    <row r="947" spans="4:6" ht="13.2" x14ac:dyDescent="0.25">
      <c r="D947" s="16"/>
      <c r="E947" s="16"/>
      <c r="F947" s="71"/>
    </row>
    <row r="948" spans="4:6" ht="13.2" x14ac:dyDescent="0.25">
      <c r="D948" s="16"/>
      <c r="E948" s="16"/>
      <c r="F948" s="71"/>
    </row>
    <row r="949" spans="4:6" ht="13.2" x14ac:dyDescent="0.25">
      <c r="D949" s="16"/>
      <c r="E949" s="16"/>
      <c r="F949" s="71"/>
    </row>
    <row r="950" spans="4:6" ht="13.2" x14ac:dyDescent="0.25">
      <c r="D950" s="16"/>
      <c r="E950" s="16"/>
      <c r="F950" s="71"/>
    </row>
    <row r="951" spans="4:6" ht="13.2" x14ac:dyDescent="0.25">
      <c r="D951" s="16"/>
      <c r="E951" s="16"/>
      <c r="F951" s="71"/>
    </row>
    <row r="952" spans="4:6" ht="13.2" x14ac:dyDescent="0.25">
      <c r="D952" s="16"/>
      <c r="E952" s="16"/>
      <c r="F952" s="71"/>
    </row>
    <row r="953" spans="4:6" ht="13.2" x14ac:dyDescent="0.25">
      <c r="D953" s="16"/>
      <c r="E953" s="16"/>
      <c r="F953" s="71"/>
    </row>
    <row r="954" spans="4:6" ht="13.2" x14ac:dyDescent="0.25">
      <c r="D954" s="16"/>
      <c r="E954" s="16"/>
      <c r="F954" s="71"/>
    </row>
    <row r="955" spans="4:6" ht="13.2" x14ac:dyDescent="0.25">
      <c r="D955" s="16"/>
      <c r="E955" s="16"/>
      <c r="F955" s="71"/>
    </row>
    <row r="956" spans="4:6" ht="13.2" x14ac:dyDescent="0.25">
      <c r="D956" s="16"/>
      <c r="E956" s="16"/>
      <c r="F956" s="71"/>
    </row>
    <row r="957" spans="4:6" ht="13.2" x14ac:dyDescent="0.25">
      <c r="D957" s="16"/>
      <c r="E957" s="16"/>
      <c r="F957" s="71"/>
    </row>
    <row r="958" spans="4:6" ht="13.2" x14ac:dyDescent="0.25">
      <c r="D958" s="16"/>
      <c r="E958" s="16"/>
      <c r="F958" s="71"/>
    </row>
    <row r="959" spans="4:6" ht="13.2" x14ac:dyDescent="0.25">
      <c r="D959" s="16"/>
      <c r="E959" s="16"/>
      <c r="F959" s="71"/>
    </row>
    <row r="960" spans="4:6" ht="13.2" x14ac:dyDescent="0.25">
      <c r="D960" s="16"/>
      <c r="E960" s="16"/>
      <c r="F960" s="71"/>
    </row>
    <row r="961" spans="4:6" ht="13.2" x14ac:dyDescent="0.25">
      <c r="D961" s="16"/>
      <c r="E961" s="16"/>
      <c r="F961" s="71"/>
    </row>
    <row r="962" spans="4:6" ht="13.2" x14ac:dyDescent="0.25">
      <c r="D962" s="16"/>
      <c r="E962" s="16"/>
      <c r="F962" s="71"/>
    </row>
    <row r="963" spans="4:6" ht="13.2" x14ac:dyDescent="0.25">
      <c r="D963" s="16"/>
      <c r="E963" s="16"/>
      <c r="F963" s="71"/>
    </row>
    <row r="964" spans="4:6" ht="13.2" x14ac:dyDescent="0.25">
      <c r="D964" s="16"/>
      <c r="E964" s="16"/>
      <c r="F964" s="71"/>
    </row>
    <row r="965" spans="4:6" ht="13.2" x14ac:dyDescent="0.25">
      <c r="D965" s="16"/>
      <c r="E965" s="16"/>
      <c r="F965" s="71"/>
    </row>
    <row r="966" spans="4:6" ht="13.2" x14ac:dyDescent="0.25">
      <c r="D966" s="16"/>
      <c r="E966" s="16"/>
      <c r="F966" s="71"/>
    </row>
    <row r="967" spans="4:6" ht="13.2" x14ac:dyDescent="0.25">
      <c r="D967" s="16"/>
      <c r="E967" s="16"/>
      <c r="F967" s="71"/>
    </row>
    <row r="968" spans="4:6" ht="13.2" x14ac:dyDescent="0.25">
      <c r="D968" s="16"/>
      <c r="E968" s="16"/>
      <c r="F968" s="71"/>
    </row>
    <row r="969" spans="4:6" ht="13.2" x14ac:dyDescent="0.25">
      <c r="D969" s="16"/>
      <c r="E969" s="16"/>
      <c r="F969" s="71"/>
    </row>
    <row r="970" spans="4:6" ht="13.2" x14ac:dyDescent="0.25">
      <c r="D970" s="16"/>
      <c r="E970" s="16"/>
      <c r="F970" s="71"/>
    </row>
    <row r="971" spans="4:6" ht="13.2" x14ac:dyDescent="0.25">
      <c r="D971" s="16"/>
      <c r="E971" s="16"/>
      <c r="F971" s="71"/>
    </row>
    <row r="972" spans="4:6" ht="13.2" x14ac:dyDescent="0.25">
      <c r="D972" s="16"/>
      <c r="E972" s="16"/>
      <c r="F972" s="71"/>
    </row>
    <row r="973" spans="4:6" ht="13.2" x14ac:dyDescent="0.25">
      <c r="D973" s="16"/>
      <c r="E973" s="16"/>
      <c r="F973" s="71"/>
    </row>
    <row r="974" spans="4:6" ht="13.2" x14ac:dyDescent="0.25">
      <c r="D974" s="16"/>
      <c r="E974" s="16"/>
      <c r="F974" s="71"/>
    </row>
    <row r="975" spans="4:6" ht="13.2" x14ac:dyDescent="0.25">
      <c r="D975" s="16"/>
      <c r="E975" s="16"/>
      <c r="F975" s="71"/>
    </row>
    <row r="976" spans="4:6" ht="13.2" x14ac:dyDescent="0.25">
      <c r="D976" s="16"/>
      <c r="E976" s="16"/>
      <c r="F976" s="71"/>
    </row>
    <row r="977" spans="4:6" ht="13.2" x14ac:dyDescent="0.25">
      <c r="D977" s="16"/>
      <c r="E977" s="16"/>
      <c r="F977" s="71"/>
    </row>
    <row r="978" spans="4:6" ht="13.2" x14ac:dyDescent="0.25">
      <c r="D978" s="16"/>
      <c r="E978" s="16"/>
      <c r="F978" s="71"/>
    </row>
    <row r="979" spans="4:6" ht="13.2" x14ac:dyDescent="0.25">
      <c r="D979" s="16"/>
      <c r="E979" s="16"/>
      <c r="F979" s="71"/>
    </row>
    <row r="980" spans="4:6" ht="13.2" x14ac:dyDescent="0.25">
      <c r="D980" s="16"/>
      <c r="E980" s="16"/>
      <c r="F980" s="71"/>
    </row>
    <row r="981" spans="4:6" ht="13.2" x14ac:dyDescent="0.25">
      <c r="D981" s="16"/>
      <c r="E981" s="16"/>
      <c r="F981" s="71"/>
    </row>
    <row r="982" spans="4:6" ht="13.2" x14ac:dyDescent="0.25">
      <c r="D982" s="16"/>
      <c r="E982" s="16"/>
      <c r="F982" s="71"/>
    </row>
    <row r="983" spans="4:6" ht="13.2" x14ac:dyDescent="0.25">
      <c r="D983" s="16"/>
      <c r="E983" s="16"/>
      <c r="F983" s="71"/>
    </row>
    <row r="984" spans="4:6" ht="13.2" x14ac:dyDescent="0.25">
      <c r="D984" s="16"/>
      <c r="E984" s="16"/>
      <c r="F984" s="71"/>
    </row>
    <row r="985" spans="4:6" ht="13.2" x14ac:dyDescent="0.25">
      <c r="D985" s="16"/>
      <c r="E985" s="16"/>
      <c r="F985" s="71"/>
    </row>
    <row r="986" spans="4:6" ht="13.2" x14ac:dyDescent="0.25">
      <c r="D986" s="16"/>
      <c r="E986" s="16"/>
      <c r="F986" s="71"/>
    </row>
    <row r="987" spans="4:6" ht="13.2" x14ac:dyDescent="0.25">
      <c r="D987" s="16"/>
      <c r="E987" s="16"/>
      <c r="F987" s="71"/>
    </row>
    <row r="988" spans="4:6" ht="13.2" x14ac:dyDescent="0.25">
      <c r="D988" s="16"/>
      <c r="E988" s="16"/>
      <c r="F988" s="71"/>
    </row>
    <row r="989" spans="4:6" ht="13.2" x14ac:dyDescent="0.25">
      <c r="D989" s="16"/>
      <c r="E989" s="16"/>
      <c r="F989" s="71"/>
    </row>
    <row r="990" spans="4:6" ht="13.2" x14ac:dyDescent="0.25">
      <c r="D990" s="16"/>
      <c r="E990" s="16"/>
      <c r="F990" s="71"/>
    </row>
    <row r="991" spans="4:6" ht="13.2" x14ac:dyDescent="0.25">
      <c r="D991" s="16"/>
      <c r="E991" s="16"/>
      <c r="F991" s="71"/>
    </row>
    <row r="992" spans="4:6" ht="13.2" x14ac:dyDescent="0.25">
      <c r="D992" s="16"/>
      <c r="E992" s="16"/>
      <c r="F992" s="71"/>
    </row>
    <row r="993" spans="4:6" ht="13.2" x14ac:dyDescent="0.25">
      <c r="D993" s="16"/>
      <c r="E993" s="16"/>
      <c r="F993" s="71"/>
    </row>
    <row r="994" spans="4:6" ht="13.2" x14ac:dyDescent="0.25">
      <c r="D994" s="16"/>
      <c r="E994" s="16"/>
      <c r="F994" s="71"/>
    </row>
    <row r="995" spans="4:6" ht="13.2" x14ac:dyDescent="0.25">
      <c r="D995" s="16"/>
      <c r="E995" s="16"/>
      <c r="F995" s="71"/>
    </row>
    <row r="996" spans="4:6" ht="13.2" x14ac:dyDescent="0.25">
      <c r="D996" s="16"/>
      <c r="E996" s="16"/>
      <c r="F996" s="71"/>
    </row>
    <row r="997" spans="4:6" ht="13.2" x14ac:dyDescent="0.25">
      <c r="D997" s="16"/>
      <c r="E997" s="16"/>
      <c r="F997" s="71"/>
    </row>
    <row r="998" spans="4:6" ht="13.2" x14ac:dyDescent="0.25">
      <c r="D998" s="16"/>
      <c r="E998" s="16"/>
      <c r="F998" s="71"/>
    </row>
    <row r="999" spans="4:6" ht="13.2" x14ac:dyDescent="0.25">
      <c r="D999" s="16"/>
      <c r="E999" s="16"/>
      <c r="F999" s="71"/>
    </row>
    <row r="1000" spans="4:6" ht="13.2" x14ac:dyDescent="0.25">
      <c r="D1000" s="16"/>
      <c r="E1000" s="16"/>
      <c r="F1000" s="71"/>
    </row>
    <row r="1001" spans="4:6" ht="13.2" x14ac:dyDescent="0.25">
      <c r="D1001" s="16"/>
      <c r="E1001" s="16"/>
      <c r="F1001" s="71"/>
    </row>
    <row r="1002" spans="4:6" ht="13.2" x14ac:dyDescent="0.25">
      <c r="D1002" s="16"/>
      <c r="E1002" s="16"/>
      <c r="F1002" s="71"/>
    </row>
    <row r="1003" spans="4:6" ht="13.2" x14ac:dyDescent="0.25">
      <c r="D1003" s="16"/>
      <c r="E1003" s="16"/>
      <c r="F1003" s="71"/>
    </row>
    <row r="1004" spans="4:6" ht="13.2" x14ac:dyDescent="0.25">
      <c r="D1004" s="16"/>
      <c r="E1004" s="16"/>
      <c r="F1004" s="71"/>
    </row>
    <row r="1005" spans="4:6" ht="13.2" x14ac:dyDescent="0.25">
      <c r="D1005" s="16"/>
      <c r="E1005" s="16"/>
      <c r="F1005" s="71"/>
    </row>
    <row r="1006" spans="4:6" ht="13.2" x14ac:dyDescent="0.25">
      <c r="D1006" s="16"/>
      <c r="E1006" s="16"/>
      <c r="F1006" s="71"/>
    </row>
    <row r="1007" spans="4:6" ht="13.2" x14ac:dyDescent="0.25">
      <c r="D1007" s="16"/>
      <c r="E1007" s="16"/>
      <c r="F1007" s="71"/>
    </row>
    <row r="1008" spans="4:6" ht="13.2" x14ac:dyDescent="0.25">
      <c r="D1008" s="16"/>
      <c r="E1008" s="16"/>
      <c r="F1008" s="71"/>
    </row>
    <row r="1009" spans="4:6" ht="13.2" x14ac:dyDescent="0.25">
      <c r="D1009" s="16"/>
      <c r="E1009" s="16"/>
      <c r="F1009" s="71"/>
    </row>
    <row r="1010" spans="4:6" ht="13.2" x14ac:dyDescent="0.25">
      <c r="D1010" s="16"/>
      <c r="E1010" s="16"/>
      <c r="F1010" s="71"/>
    </row>
    <row r="1011" spans="4:6" ht="13.2" x14ac:dyDescent="0.25">
      <c r="D1011" s="16"/>
      <c r="E1011" s="16"/>
      <c r="F1011" s="71"/>
    </row>
    <row r="1012" spans="4:6" ht="13.2" x14ac:dyDescent="0.25">
      <c r="D1012" s="16"/>
      <c r="E1012" s="16"/>
      <c r="F1012" s="71"/>
    </row>
    <row r="1013" spans="4:6" ht="13.2" x14ac:dyDescent="0.25">
      <c r="D1013" s="16"/>
      <c r="E1013" s="16"/>
      <c r="F1013" s="71"/>
    </row>
    <row r="1014" spans="4:6" ht="13.2" x14ac:dyDescent="0.25">
      <c r="D1014" s="16"/>
      <c r="E1014" s="16"/>
      <c r="F1014" s="71"/>
    </row>
    <row r="1015" spans="4:6" ht="13.2" x14ac:dyDescent="0.25">
      <c r="D1015" s="16"/>
      <c r="E1015" s="16"/>
      <c r="F1015" s="71"/>
    </row>
    <row r="1016" spans="4:6" ht="13.2" x14ac:dyDescent="0.25">
      <c r="D1016" s="16"/>
      <c r="E1016" s="16"/>
      <c r="F1016" s="71"/>
    </row>
    <row r="1017" spans="4:6" ht="13.2" x14ac:dyDescent="0.25">
      <c r="D1017" s="16"/>
      <c r="E1017" s="16"/>
      <c r="F1017" s="71"/>
    </row>
    <row r="1018" spans="4:6" ht="13.2" x14ac:dyDescent="0.25">
      <c r="D1018" s="16"/>
      <c r="E1018" s="16"/>
      <c r="F1018" s="71"/>
    </row>
    <row r="1019" spans="4:6" ht="13.2" x14ac:dyDescent="0.25">
      <c r="D1019" s="16"/>
      <c r="E1019" s="16"/>
      <c r="F1019" s="71"/>
    </row>
    <row r="1020" spans="4:6" ht="13.2" x14ac:dyDescent="0.25">
      <c r="D1020" s="16"/>
      <c r="E1020" s="16"/>
      <c r="F1020" s="71"/>
    </row>
    <row r="1021" spans="4:6" ht="13.2" x14ac:dyDescent="0.25">
      <c r="D1021" s="16"/>
      <c r="E1021" s="16"/>
      <c r="F1021" s="71"/>
    </row>
    <row r="1022" spans="4:6" ht="13.2" x14ac:dyDescent="0.25">
      <c r="D1022" s="16"/>
      <c r="E1022" s="16"/>
      <c r="F1022" s="71"/>
    </row>
    <row r="1023" spans="4:6" ht="13.2" x14ac:dyDescent="0.25">
      <c r="D1023" s="16"/>
      <c r="E1023" s="16"/>
      <c r="F1023" s="71"/>
    </row>
    <row r="1024" spans="4:6" ht="13.2" x14ac:dyDescent="0.25">
      <c r="D1024" s="16"/>
      <c r="E1024" s="16"/>
      <c r="F1024" s="71"/>
    </row>
    <row r="1025" spans="4:6" ht="13.2" x14ac:dyDescent="0.25">
      <c r="D1025" s="16"/>
      <c r="E1025" s="16"/>
      <c r="F1025" s="71"/>
    </row>
  </sheetData>
  <mergeCells count="26">
    <mergeCell ref="B5:B9"/>
    <mergeCell ref="B11:B15"/>
    <mergeCell ref="B17:B21"/>
    <mergeCell ref="B23:B27"/>
    <mergeCell ref="B29:B33"/>
    <mergeCell ref="B35:B39"/>
    <mergeCell ref="B41:B45"/>
    <mergeCell ref="B47:B51"/>
    <mergeCell ref="B53:B57"/>
    <mergeCell ref="B59:B63"/>
    <mergeCell ref="B65:B69"/>
    <mergeCell ref="B71:B75"/>
    <mergeCell ref="B77:B81"/>
    <mergeCell ref="B83:B87"/>
    <mergeCell ref="B131:B135"/>
    <mergeCell ref="B137:B141"/>
    <mergeCell ref="B143:B147"/>
    <mergeCell ref="B149:B153"/>
    <mergeCell ref="B155:B159"/>
    <mergeCell ref="B89:B93"/>
    <mergeCell ref="B95:B99"/>
    <mergeCell ref="B101:B105"/>
    <mergeCell ref="B107:B111"/>
    <mergeCell ref="B113:B117"/>
    <mergeCell ref="B119:B123"/>
    <mergeCell ref="B125:B129"/>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025"/>
  <sheetViews>
    <sheetView workbookViewId="0">
      <selection activeCell="C1" sqref="C1:C1048576"/>
    </sheetView>
  </sheetViews>
  <sheetFormatPr defaultColWidth="12.6640625" defaultRowHeight="15.75" customHeight="1" x14ac:dyDescent="0.25"/>
  <cols>
    <col min="1" max="1" width="4.109375" customWidth="1"/>
    <col min="4" max="4" width="27.88671875" customWidth="1"/>
    <col min="5" max="5" width="19" customWidth="1"/>
  </cols>
  <sheetData>
    <row r="1" spans="1:9" ht="13.2" x14ac:dyDescent="0.25">
      <c r="A1" s="1"/>
      <c r="D1" s="16"/>
      <c r="E1" s="16"/>
      <c r="F1" s="17"/>
      <c r="H1" s="18"/>
    </row>
    <row r="2" spans="1:9" ht="13.8" thickBot="1" x14ac:dyDescent="0.3">
      <c r="D2" s="16"/>
      <c r="E2" s="16"/>
      <c r="F2" s="17"/>
      <c r="H2" s="18"/>
    </row>
    <row r="3" spans="1:9" ht="27.6" customHeight="1" thickBot="1" x14ac:dyDescent="0.3">
      <c r="B3" s="42" t="s">
        <v>6</v>
      </c>
      <c r="C3" s="42" t="s">
        <v>7</v>
      </c>
      <c r="D3" s="49" t="s">
        <v>191</v>
      </c>
      <c r="E3" s="50" t="s">
        <v>192</v>
      </c>
      <c r="F3" s="51" t="s">
        <v>193</v>
      </c>
      <c r="H3" s="19" t="s">
        <v>194</v>
      </c>
    </row>
    <row r="4" spans="1:9" ht="14.4" thickBot="1" x14ac:dyDescent="0.3">
      <c r="B4" s="115" t="s">
        <v>18</v>
      </c>
      <c r="C4" s="43">
        <v>2018</v>
      </c>
      <c r="D4" s="52">
        <v>3969235328</v>
      </c>
      <c r="E4" s="52">
        <f>'ROA X3'!F4</f>
        <v>12398425381188</v>
      </c>
      <c r="F4" s="53">
        <f t="shared" ref="F4:F158" si="0">D4/E4</f>
        <v>3.2014027636303549E-4</v>
      </c>
      <c r="H4" s="20">
        <v>14553</v>
      </c>
      <c r="I4" s="5">
        <v>2018</v>
      </c>
    </row>
    <row r="5" spans="1:9" ht="14.4" thickBot="1" x14ac:dyDescent="0.3">
      <c r="B5" s="116"/>
      <c r="C5" s="43">
        <v>2019</v>
      </c>
      <c r="D5" s="52">
        <v>3792678190</v>
      </c>
      <c r="E5" s="52">
        <f>'ROA X3'!F5</f>
        <v>11933575847050</v>
      </c>
      <c r="F5" s="53">
        <f t="shared" si="0"/>
        <v>3.1781573592106144E-4</v>
      </c>
      <c r="H5" s="21">
        <v>13970</v>
      </c>
      <c r="I5" s="5">
        <v>2019</v>
      </c>
    </row>
    <row r="6" spans="1:9" ht="14.4" thickBot="1" x14ac:dyDescent="0.3">
      <c r="B6" s="116"/>
      <c r="C6" s="43">
        <v>2020</v>
      </c>
      <c r="D6" s="52">
        <f>(445846+101497)*H6</f>
        <v>7758587025</v>
      </c>
      <c r="E6" s="52">
        <f>'ROA X3'!F6</f>
        <v>11726087012325</v>
      </c>
      <c r="F6" s="53">
        <f t="shared" si="0"/>
        <v>6.6165183806372418E-4</v>
      </c>
      <c r="H6" s="21">
        <v>14175</v>
      </c>
      <c r="I6" s="5">
        <v>2020</v>
      </c>
    </row>
    <row r="7" spans="1:9" ht="14.4" thickBot="1" x14ac:dyDescent="0.3">
      <c r="B7" s="116"/>
      <c r="C7" s="43">
        <v>2021</v>
      </c>
      <c r="D7" s="52">
        <f>3958380*H7</f>
        <v>56763169200</v>
      </c>
      <c r="E7" s="52">
        <f>'ROA X3'!F7</f>
        <v>14866337640060</v>
      </c>
      <c r="F7" s="53">
        <f t="shared" si="0"/>
        <v>3.818234899161816E-3</v>
      </c>
      <c r="H7" s="21">
        <v>14340</v>
      </c>
      <c r="I7" s="5">
        <v>2021</v>
      </c>
    </row>
    <row r="8" spans="1:9" ht="14.4" thickBot="1" x14ac:dyDescent="0.3">
      <c r="B8" s="116"/>
      <c r="C8" s="43">
        <v>2022</v>
      </c>
      <c r="D8" s="52">
        <f>5138072*H8</f>
        <v>81227780248</v>
      </c>
      <c r="E8" s="52">
        <f>'ROA X3'!F8</f>
        <v>31342584518276</v>
      </c>
      <c r="F8" s="53">
        <f t="shared" si="0"/>
        <v>2.5916107907641029E-3</v>
      </c>
      <c r="H8" s="21">
        <v>15809</v>
      </c>
      <c r="I8" s="5">
        <v>2022</v>
      </c>
    </row>
    <row r="9" spans="1:9" s="38" customFormat="1" ht="14.4" thickBot="1" x14ac:dyDescent="0.3">
      <c r="B9" s="54"/>
      <c r="C9" s="54" t="s">
        <v>219</v>
      </c>
      <c r="D9" s="50">
        <f>SUM(D4:D8)/5</f>
        <v>30702289998.200001</v>
      </c>
      <c r="E9" s="50">
        <f>SUM(E4:E8)/5</f>
        <v>16453402079779.801</v>
      </c>
      <c r="F9" s="55">
        <f>SUM(F4:F8)/5</f>
        <v>1.5418907080547481E-3</v>
      </c>
      <c r="H9" s="48"/>
    </row>
    <row r="10" spans="1:9" ht="14.4" thickBot="1" x14ac:dyDescent="0.3">
      <c r="B10" s="115" t="s">
        <v>39</v>
      </c>
      <c r="C10" s="43">
        <v>2018</v>
      </c>
      <c r="D10" s="52">
        <v>2835433464</v>
      </c>
      <c r="E10" s="52">
        <f>'ROA X3'!F10</f>
        <v>19940850599000</v>
      </c>
      <c r="F10" s="53">
        <f t="shared" si="0"/>
        <v>1.4219220237988203E-4</v>
      </c>
      <c r="H10" s="18"/>
    </row>
    <row r="11" spans="1:9" ht="14.4" thickBot="1" x14ac:dyDescent="0.3">
      <c r="B11" s="116"/>
      <c r="C11" s="43">
        <v>2019</v>
      </c>
      <c r="D11" s="52">
        <v>2630615799</v>
      </c>
      <c r="E11" s="52">
        <f>'ROA X3'!F11</f>
        <v>21409046173000</v>
      </c>
      <c r="F11" s="53">
        <f t="shared" si="0"/>
        <v>1.228740308065475E-4</v>
      </c>
      <c r="H11" s="18"/>
    </row>
    <row r="12" spans="1:9" ht="14.4" thickBot="1" x14ac:dyDescent="0.3">
      <c r="B12" s="116"/>
      <c r="C12" s="43">
        <v>2020</v>
      </c>
      <c r="D12" s="52">
        <v>672718603</v>
      </c>
      <c r="E12" s="52">
        <f>'ROA X3'!F12</f>
        <v>18683572815000</v>
      </c>
      <c r="F12" s="53">
        <f t="shared" si="0"/>
        <v>3.6005886543279968E-5</v>
      </c>
      <c r="H12" s="18"/>
    </row>
    <row r="13" spans="1:9" ht="14.4" thickBot="1" x14ac:dyDescent="0.3">
      <c r="B13" s="116"/>
      <c r="C13" s="43">
        <v>2021</v>
      </c>
      <c r="D13" s="52">
        <v>652012984</v>
      </c>
      <c r="E13" s="52">
        <f>'ROA X3'!F13</f>
        <v>23508585736000</v>
      </c>
      <c r="F13" s="53">
        <f t="shared" si="0"/>
        <v>2.7735100329814241E-5</v>
      </c>
      <c r="G13" s="57"/>
      <c r="H13" s="18"/>
    </row>
    <row r="14" spans="1:9" ht="14.4" thickBot="1" x14ac:dyDescent="0.3">
      <c r="B14" s="116"/>
      <c r="C14" s="43">
        <v>2022</v>
      </c>
      <c r="D14" s="52">
        <v>2587000000</v>
      </c>
      <c r="E14" s="52">
        <f>'ROA X3'!F14</f>
        <v>27187608036000</v>
      </c>
      <c r="F14" s="53">
        <f t="shared" si="0"/>
        <v>9.5153644872857833E-5</v>
      </c>
      <c r="H14" s="18"/>
    </row>
    <row r="15" spans="1:9" s="38" customFormat="1" ht="14.4" thickBot="1" x14ac:dyDescent="0.3">
      <c r="B15" s="54"/>
      <c r="C15" s="54" t="s">
        <v>219</v>
      </c>
      <c r="D15" s="50">
        <f>SUM(D10:D14)/5</f>
        <v>1875556170</v>
      </c>
      <c r="E15" s="50">
        <f>SUM(E10:E14)/5</f>
        <v>22145932671800</v>
      </c>
      <c r="F15" s="55">
        <f>SUM(F10:F14)/5</f>
        <v>8.4792172986476323E-5</v>
      </c>
      <c r="H15" s="48"/>
    </row>
    <row r="16" spans="1:9" ht="14.4" thickBot="1" x14ac:dyDescent="0.3">
      <c r="B16" s="115" t="s">
        <v>60</v>
      </c>
      <c r="C16" s="43">
        <v>2018</v>
      </c>
      <c r="D16" s="52">
        <f>30175000*H4</f>
        <v>439136775000</v>
      </c>
      <c r="E16" s="52">
        <f>'ROA X3'!F16</f>
        <v>56855281134267</v>
      </c>
      <c r="F16" s="53">
        <f t="shared" si="0"/>
        <v>7.7237640240130617E-3</v>
      </c>
      <c r="H16" s="18"/>
    </row>
    <row r="17" spans="2:8" ht="14.4" thickBot="1" x14ac:dyDescent="0.3">
      <c r="B17" s="116"/>
      <c r="C17" s="43">
        <v>2019</v>
      </c>
      <c r="D17" s="52">
        <f>23266000*H5</f>
        <v>325026020000</v>
      </c>
      <c r="E17" s="52">
        <f>'ROA X3'!F17</f>
        <v>51728196718660</v>
      </c>
      <c r="F17" s="53">
        <f t="shared" si="0"/>
        <v>6.2833433333807443E-3</v>
      </c>
      <c r="H17" s="18"/>
    </row>
    <row r="18" spans="2:8" ht="14.4" thickBot="1" x14ac:dyDescent="0.3">
      <c r="B18" s="116"/>
      <c r="C18" s="43">
        <v>2020</v>
      </c>
      <c r="D18" s="52">
        <f>8820000*H6</f>
        <v>125023500000</v>
      </c>
      <c r="E18" s="52">
        <f>'ROA X3'!F18</f>
        <v>48599700885225</v>
      </c>
      <c r="F18" s="53">
        <f t="shared" si="0"/>
        <v>2.572515832870258E-3</v>
      </c>
      <c r="H18" s="18"/>
    </row>
    <row r="19" spans="2:8" ht="14.4" thickBot="1" x14ac:dyDescent="0.3">
      <c r="B19" s="116"/>
      <c r="C19" s="43">
        <v>2021</v>
      </c>
      <c r="D19" s="52">
        <f>7840000*H7</f>
        <v>112425600000</v>
      </c>
      <c r="E19" s="52">
        <f>'ROA X3'!F19</f>
        <v>60569109681240</v>
      </c>
      <c r="F19" s="53">
        <f t="shared" si="0"/>
        <v>1.8561540790622097E-3</v>
      </c>
      <c r="H19" s="18"/>
    </row>
    <row r="20" spans="2:8" ht="14.4" thickBot="1" x14ac:dyDescent="0.3">
      <c r="B20" s="116"/>
      <c r="C20" s="43">
        <v>2022</v>
      </c>
      <c r="D20" s="52">
        <f>0</f>
        <v>0</v>
      </c>
      <c r="E20" s="52">
        <f>'ROA X3'!F20</f>
        <v>70951534532921</v>
      </c>
      <c r="F20" s="53">
        <f t="shared" si="0"/>
        <v>0</v>
      </c>
      <c r="H20" s="18"/>
    </row>
    <row r="21" spans="2:8" s="38" customFormat="1" ht="14.4" thickBot="1" x14ac:dyDescent="0.3">
      <c r="B21" s="54"/>
      <c r="C21" s="54" t="s">
        <v>219</v>
      </c>
      <c r="D21" s="50">
        <f>SUM(D16:D20)/5</f>
        <v>200322379000</v>
      </c>
      <c r="E21" s="50">
        <f>SUM(E16:E20)/5</f>
        <v>57740764590462.602</v>
      </c>
      <c r="F21" s="55">
        <f>SUM(F16:F20)/5</f>
        <v>3.6871554538652545E-3</v>
      </c>
      <c r="H21" s="48"/>
    </row>
    <row r="22" spans="2:8" ht="14.4" thickBot="1" x14ac:dyDescent="0.3">
      <c r="B22" s="115" t="s">
        <v>81</v>
      </c>
      <c r="C22" s="43">
        <v>2018</v>
      </c>
      <c r="D22" s="52">
        <v>9700000000</v>
      </c>
      <c r="E22" s="52">
        <f>'ROA X3'!F22</f>
        <v>5657327000000</v>
      </c>
      <c r="F22" s="53">
        <f t="shared" si="0"/>
        <v>1.7145906538547269E-3</v>
      </c>
      <c r="H22" s="18"/>
    </row>
    <row r="23" spans="2:8" ht="14.4" thickBot="1" x14ac:dyDescent="0.3">
      <c r="B23" s="116"/>
      <c r="C23" s="43">
        <v>2019</v>
      </c>
      <c r="D23" s="52">
        <v>9200000000</v>
      </c>
      <c r="E23" s="52">
        <f>'ROA X3'!F23</f>
        <v>6805037000000</v>
      </c>
      <c r="F23" s="53">
        <f t="shared" si="0"/>
        <v>1.3519397469844764E-3</v>
      </c>
      <c r="H23" s="18"/>
    </row>
    <row r="24" spans="2:8" ht="14.4" thickBot="1" x14ac:dyDescent="0.3">
      <c r="B24" s="116"/>
      <c r="C24" s="43">
        <v>2020</v>
      </c>
      <c r="D24" s="52">
        <v>7730000000</v>
      </c>
      <c r="E24" s="52">
        <f>'ROA X3'!F24</f>
        <v>7562822000000</v>
      </c>
      <c r="F24" s="53">
        <f t="shared" si="0"/>
        <v>1.0221052406099204E-3</v>
      </c>
      <c r="H24" s="18"/>
    </row>
    <row r="25" spans="2:8" ht="14.4" thickBot="1" x14ac:dyDescent="0.3">
      <c r="B25" s="116"/>
      <c r="C25" s="43">
        <v>2021</v>
      </c>
      <c r="D25" s="52">
        <v>8050000000</v>
      </c>
      <c r="E25" s="52">
        <f>'ROA X3'!F25</f>
        <v>7234857000000</v>
      </c>
      <c r="F25" s="53">
        <f t="shared" si="0"/>
        <v>1.1126688474976077E-3</v>
      </c>
      <c r="H25" s="18"/>
    </row>
    <row r="26" spans="2:8" ht="14.4" thickBot="1" x14ac:dyDescent="0.3">
      <c r="B26" s="116"/>
      <c r="C26" s="43">
        <v>2022</v>
      </c>
      <c r="D26" s="52">
        <v>5480000000</v>
      </c>
      <c r="E26" s="52">
        <f>'ROA X3'!F26</f>
        <v>8836089000000</v>
      </c>
      <c r="F26" s="53">
        <f t="shared" si="0"/>
        <v>6.2018388452176069E-4</v>
      </c>
      <c r="H26" s="18"/>
    </row>
    <row r="27" spans="2:8" s="38" customFormat="1" ht="14.4" thickBot="1" x14ac:dyDescent="0.3">
      <c r="B27" s="54"/>
      <c r="C27" s="54" t="s">
        <v>219</v>
      </c>
      <c r="D27" s="50">
        <f>SUM(D22:D26)/5</f>
        <v>8032000000</v>
      </c>
      <c r="E27" s="50">
        <f>SUM(E22:E26)/5</f>
        <v>7219226400000</v>
      </c>
      <c r="F27" s="55">
        <f>SUM(F22:F26)/5</f>
        <v>1.1642976746936984E-3</v>
      </c>
      <c r="H27" s="48"/>
    </row>
    <row r="28" spans="2:8" ht="14.4" thickBot="1" x14ac:dyDescent="0.3">
      <c r="B28" s="115" t="s">
        <v>98</v>
      </c>
      <c r="C28" s="43">
        <v>2018</v>
      </c>
      <c r="D28" s="52">
        <f>580056*H4</f>
        <v>8441554968</v>
      </c>
      <c r="E28" s="52">
        <f>'ROA X3'!F28</f>
        <v>7564927056000</v>
      </c>
      <c r="F28" s="53">
        <f t="shared" si="0"/>
        <v>1.1158805505341544E-3</v>
      </c>
      <c r="H28" s="18"/>
    </row>
    <row r="29" spans="2:8" ht="14.4" thickBot="1" x14ac:dyDescent="0.3">
      <c r="B29" s="116"/>
      <c r="C29" s="43">
        <v>2019</v>
      </c>
      <c r="D29" s="52">
        <f>459352*H5</f>
        <v>6417147440</v>
      </c>
      <c r="E29" s="52">
        <f>'ROA X3'!F29</f>
        <v>7698084680000</v>
      </c>
      <c r="F29" s="53">
        <f t="shared" si="0"/>
        <v>8.3360312425142093E-4</v>
      </c>
      <c r="H29" s="18"/>
    </row>
    <row r="30" spans="2:8" ht="14.4" thickBot="1" x14ac:dyDescent="0.3">
      <c r="B30" s="116"/>
      <c r="C30" s="43">
        <v>2020</v>
      </c>
      <c r="D30" s="52">
        <f>366889*H6</f>
        <v>5200651575</v>
      </c>
      <c r="E30" s="52">
        <f>'ROA X3'!F30</f>
        <v>7508327400000</v>
      </c>
      <c r="F30" s="53">
        <f t="shared" si="0"/>
        <v>6.9265114558003953E-4</v>
      </c>
      <c r="H30" s="18"/>
    </row>
    <row r="31" spans="2:8" ht="14.4" thickBot="1" x14ac:dyDescent="0.3">
      <c r="B31" s="116"/>
      <c r="C31" s="43">
        <v>2021</v>
      </c>
      <c r="D31" s="52">
        <f>238828*H7</f>
        <v>3424793520</v>
      </c>
      <c r="E31" s="52">
        <f>'ROA X3'!F31</f>
        <v>7639434240000</v>
      </c>
      <c r="F31" s="53">
        <f t="shared" si="0"/>
        <v>4.4830460115329171E-4</v>
      </c>
      <c r="H31" s="18"/>
    </row>
    <row r="32" spans="2:8" ht="14.4" thickBot="1" x14ac:dyDescent="0.3">
      <c r="B32" s="116"/>
      <c r="C32" s="43">
        <v>2022</v>
      </c>
      <c r="D32" s="52">
        <f>344580*H8</f>
        <v>5447465220</v>
      </c>
      <c r="E32" s="52">
        <f>'ROA X3'!F32</f>
        <v>9428803780000</v>
      </c>
      <c r="F32" s="53">
        <f t="shared" si="0"/>
        <v>5.7774722510982193E-4</v>
      </c>
      <c r="H32" s="18"/>
    </row>
    <row r="33" spans="2:8" s="38" customFormat="1" ht="14.4" thickBot="1" x14ac:dyDescent="0.3">
      <c r="B33" s="54"/>
      <c r="C33" s="54" t="s">
        <v>219</v>
      </c>
      <c r="D33" s="50">
        <f>SUM(D28:D32)/5</f>
        <v>5786322544.6000004</v>
      </c>
      <c r="E33" s="50">
        <f>SUM(E28:E32)/5</f>
        <v>7967915431200</v>
      </c>
      <c r="F33" s="55">
        <f>SUM(F28:F32)/5</f>
        <v>7.3363732932574569E-4</v>
      </c>
      <c r="H33" s="48"/>
    </row>
    <row r="34" spans="2:8" ht="14.4" thickBot="1" x14ac:dyDescent="0.3">
      <c r="B34" s="115" t="s">
        <v>114</v>
      </c>
      <c r="C34" s="43">
        <v>2018</v>
      </c>
      <c r="D34" s="52">
        <f>1089000*H4</f>
        <v>15848217000</v>
      </c>
      <c r="E34" s="52">
        <f>'ROA X3'!F34</f>
        <v>19644184448000</v>
      </c>
      <c r="F34" s="53">
        <f t="shared" si="0"/>
        <v>8.067638054382821E-4</v>
      </c>
      <c r="H34" s="18"/>
    </row>
    <row r="35" spans="2:8" ht="14.4" thickBot="1" x14ac:dyDescent="0.3">
      <c r="B35" s="116"/>
      <c r="C35" s="43">
        <v>2019</v>
      </c>
      <c r="D35" s="52">
        <f>1142000*H5</f>
        <v>15953740000</v>
      </c>
      <c r="E35" s="52">
        <f>'ROA X3'!F35</f>
        <v>16890302770000</v>
      </c>
      <c r="F35" s="53">
        <f t="shared" si="0"/>
        <v>9.4455026752608055E-4</v>
      </c>
      <c r="H35" s="18"/>
    </row>
    <row r="36" spans="2:8" ht="14.4" thickBot="1" x14ac:dyDescent="0.3">
      <c r="B36" s="116"/>
      <c r="C36" s="43">
        <v>2020</v>
      </c>
      <c r="D36" s="52">
        <f>707613*H6</f>
        <v>10030414275</v>
      </c>
      <c r="E36" s="52">
        <f>'ROA X3'!F36</f>
        <v>16423566075000</v>
      </c>
      <c r="F36" s="53">
        <f t="shared" si="0"/>
        <v>6.1073303015892063E-4</v>
      </c>
      <c r="H36" s="18"/>
    </row>
    <row r="37" spans="2:8" ht="14.4" thickBot="1" x14ac:dyDescent="0.3">
      <c r="B37" s="116"/>
      <c r="C37" s="43">
        <v>2021</v>
      </c>
      <c r="D37" s="52">
        <f>329826*H7</f>
        <v>4729704840</v>
      </c>
      <c r="E37" s="52">
        <f>'ROA X3'!F37</f>
        <v>23893867260000</v>
      </c>
      <c r="F37" s="53">
        <f t="shared" si="0"/>
        <v>1.979463930444552E-4</v>
      </c>
      <c r="H37" s="18"/>
    </row>
    <row r="38" spans="2:8" ht="14.4" thickBot="1" x14ac:dyDescent="0.3">
      <c r="B38" s="116"/>
      <c r="C38" s="43">
        <v>2022</v>
      </c>
      <c r="D38" s="52">
        <f>1087000*H8</f>
        <v>17184383000</v>
      </c>
      <c r="E38" s="52">
        <f>'ROA X3'!F38</f>
        <v>41738558193000</v>
      </c>
      <c r="F38" s="53">
        <f t="shared" si="0"/>
        <v>4.1171482063513166E-4</v>
      </c>
      <c r="H38" s="18"/>
    </row>
    <row r="39" spans="2:8" s="38" customFormat="1" ht="14.4" thickBot="1" x14ac:dyDescent="0.3">
      <c r="B39" s="54"/>
      <c r="C39" s="54" t="s">
        <v>219</v>
      </c>
      <c r="D39" s="50">
        <f>SUM(D34:D38)/5</f>
        <v>12749291823</v>
      </c>
      <c r="E39" s="50">
        <f>SUM(E34:E38)/5</f>
        <v>23718095749200</v>
      </c>
      <c r="F39" s="55">
        <f>SUM(F34:F38)/5</f>
        <v>5.9434166336057401E-4</v>
      </c>
      <c r="H39" s="48"/>
    </row>
    <row r="40" spans="2:8" ht="14.4" thickBot="1" x14ac:dyDescent="0.3">
      <c r="B40" s="115" t="s">
        <v>129</v>
      </c>
      <c r="C40" s="43">
        <v>2018</v>
      </c>
      <c r="D40" s="52">
        <f>148159*H4</f>
        <v>2156157927</v>
      </c>
      <c r="E40" s="52">
        <f>'ROA X3'!F40</f>
        <v>3263871752960</v>
      </c>
      <c r="F40" s="53">
        <f t="shared" si="0"/>
        <v>6.6061355659718674E-4</v>
      </c>
      <c r="H40" s="18"/>
    </row>
    <row r="41" spans="2:8" ht="14.4" thickBot="1" x14ac:dyDescent="0.3">
      <c r="B41" s="116"/>
      <c r="C41" s="43">
        <v>2019</v>
      </c>
      <c r="D41" s="52">
        <f>29500*H5</f>
        <v>412115000</v>
      </c>
      <c r="E41" s="52">
        <f>'ROA X3'!F41</f>
        <v>3047351957100</v>
      </c>
      <c r="F41" s="53">
        <f t="shared" si="0"/>
        <v>1.3523708642837159E-4</v>
      </c>
      <c r="H41" s="18"/>
    </row>
    <row r="42" spans="2:8" ht="14.4" thickBot="1" x14ac:dyDescent="0.3">
      <c r="B42" s="116"/>
      <c r="C42" s="43">
        <v>2020</v>
      </c>
      <c r="D42" s="52">
        <f>25600*H6</f>
        <v>362880000</v>
      </c>
      <c r="E42" s="52">
        <f>'ROA X3'!F42</f>
        <v>2762127175500</v>
      </c>
      <c r="F42" s="53">
        <f t="shared" si="0"/>
        <v>1.3137700654000897E-4</v>
      </c>
      <c r="H42" s="18"/>
    </row>
    <row r="43" spans="2:8" ht="14.4" thickBot="1" x14ac:dyDescent="0.3">
      <c r="B43" s="116"/>
      <c r="C43" s="43">
        <v>2021</v>
      </c>
      <c r="D43" s="52">
        <f>29100*H7</f>
        <v>417294000</v>
      </c>
      <c r="E43" s="52">
        <f>'ROA X3'!F43</f>
        <v>2547344478900</v>
      </c>
      <c r="F43" s="53">
        <f t="shared" si="0"/>
        <v>1.638152999943678E-4</v>
      </c>
      <c r="H43" s="18"/>
    </row>
    <row r="44" spans="2:8" ht="14.4" thickBot="1" x14ac:dyDescent="0.3">
      <c r="B44" s="116"/>
      <c r="C44" s="43">
        <v>2022</v>
      </c>
      <c r="D44" s="52">
        <f>30100*H8</f>
        <v>475850900</v>
      </c>
      <c r="E44" s="52">
        <f>'ROA X3'!F44</f>
        <v>3335602122448</v>
      </c>
      <c r="F44" s="53">
        <f t="shared" si="0"/>
        <v>1.4265817160794131E-4</v>
      </c>
      <c r="H44" s="18"/>
    </row>
    <row r="45" spans="2:8" s="38" customFormat="1" ht="14.4" thickBot="1" x14ac:dyDescent="0.3">
      <c r="B45" s="54"/>
      <c r="C45" s="54" t="s">
        <v>219</v>
      </c>
      <c r="D45" s="50">
        <f>SUM(D40:D44)/5</f>
        <v>764859565.39999998</v>
      </c>
      <c r="E45" s="50">
        <f>SUM(E40:E44)/5</f>
        <v>2991259497381.6001</v>
      </c>
      <c r="F45" s="55">
        <f>SUM(F40:F44)/5</f>
        <v>2.467402242335753E-4</v>
      </c>
      <c r="H45" s="48"/>
    </row>
    <row r="46" spans="2:8" ht="14.4" thickBot="1" x14ac:dyDescent="0.3">
      <c r="B46" s="115" t="s">
        <v>140</v>
      </c>
      <c r="C46" s="43">
        <v>2018</v>
      </c>
      <c r="D46" s="52">
        <f>2550376*H4</f>
        <v>37115621928</v>
      </c>
      <c r="E46" s="52">
        <f>'ROA X3'!F46</f>
        <v>76438086185538</v>
      </c>
      <c r="F46" s="53">
        <f t="shared" si="0"/>
        <v>4.8556451083703653E-4</v>
      </c>
      <c r="H46" s="18"/>
    </row>
    <row r="47" spans="2:8" ht="14.4" thickBot="1" x14ac:dyDescent="0.3">
      <c r="B47" s="116"/>
      <c r="C47" s="43">
        <v>2019</v>
      </c>
      <c r="D47" s="52">
        <f>2067345*H5</f>
        <v>28880809650</v>
      </c>
      <c r="E47" s="52">
        <f>'ROA X3'!F47</f>
        <v>83785402191370</v>
      </c>
      <c r="F47" s="53">
        <f t="shared" si="0"/>
        <v>3.4469977937248307E-4</v>
      </c>
      <c r="H47" s="18"/>
    </row>
    <row r="48" spans="2:8" ht="14.4" thickBot="1" x14ac:dyDescent="0.3">
      <c r="B48" s="116"/>
      <c r="C48" s="43">
        <v>2020</v>
      </c>
      <c r="D48" s="52">
        <f>1443923*H6</f>
        <v>20467608525</v>
      </c>
      <c r="E48" s="52">
        <f>'ROA X3'!F48</f>
        <v>83644165387125</v>
      </c>
      <c r="F48" s="53">
        <f t="shared" si="0"/>
        <v>2.4469858035250949E-4</v>
      </c>
      <c r="H48" s="18"/>
    </row>
    <row r="49" spans="2:8" ht="14.4" thickBot="1" x14ac:dyDescent="0.3">
      <c r="B49" s="116"/>
      <c r="C49" s="43">
        <v>2021</v>
      </c>
      <c r="D49" s="52">
        <f>1104040*H7</f>
        <v>15831933600</v>
      </c>
      <c r="E49" s="52">
        <f>'ROA X3'!F49</f>
        <v>81506898553260</v>
      </c>
      <c r="F49" s="53">
        <f t="shared" si="0"/>
        <v>1.9424041254194891E-4</v>
      </c>
      <c r="H49" s="18"/>
    </row>
    <row r="50" spans="2:8" ht="14.4" thickBot="1" x14ac:dyDescent="0.3">
      <c r="B50" s="116"/>
      <c r="C50" s="43">
        <v>2022</v>
      </c>
      <c r="D50" s="52">
        <f>1639198*H8</f>
        <v>25914081182</v>
      </c>
      <c r="E50" s="52">
        <f>'ROA X3'!F50</f>
        <v>109586499203234</v>
      </c>
      <c r="F50" s="53">
        <f t="shared" si="0"/>
        <v>2.3647147568735594E-4</v>
      </c>
      <c r="H50" s="18"/>
    </row>
    <row r="51" spans="2:8" s="38" customFormat="1" ht="14.4" thickBot="1" x14ac:dyDescent="0.3">
      <c r="B51" s="54"/>
      <c r="C51" s="54" t="s">
        <v>219</v>
      </c>
      <c r="D51" s="50">
        <f>SUM(D46:D50)/5</f>
        <v>25642010977</v>
      </c>
      <c r="E51" s="50">
        <f>SUM(E46:E50)/5</f>
        <v>86992210304105.406</v>
      </c>
      <c r="F51" s="55">
        <f>SUM(F46:F50)/5</f>
        <v>3.0113495175826681E-4</v>
      </c>
      <c r="H51" s="48"/>
    </row>
    <row r="52" spans="2:8" ht="14.4" thickBot="1" x14ac:dyDescent="0.3">
      <c r="B52" s="115" t="s">
        <v>150</v>
      </c>
      <c r="C52" s="43">
        <v>2018</v>
      </c>
      <c r="D52" s="52">
        <f>2961077*H4</f>
        <v>43092553581</v>
      </c>
      <c r="E52" s="52">
        <f>'ROA X3'!F52</f>
        <v>115540242399351</v>
      </c>
      <c r="F52" s="53">
        <f t="shared" si="0"/>
        <v>3.7296575362942162E-4</v>
      </c>
      <c r="H52" s="18"/>
    </row>
    <row r="53" spans="2:8" ht="14.4" thickBot="1" x14ac:dyDescent="0.3">
      <c r="B53" s="116"/>
      <c r="C53" s="43">
        <v>2019</v>
      </c>
      <c r="D53" s="52">
        <f>4828859*H5</f>
        <v>67459160230</v>
      </c>
      <c r="E53" s="52">
        <f>'ROA X3'!F53</f>
        <v>103010772789320</v>
      </c>
      <c r="F53" s="53">
        <f t="shared" si="0"/>
        <v>6.5487480972469773E-4</v>
      </c>
      <c r="H53" s="18"/>
    </row>
    <row r="54" spans="2:8" ht="14.4" thickBot="1" x14ac:dyDescent="0.3">
      <c r="B54" s="116"/>
      <c r="C54" s="43">
        <v>2020</v>
      </c>
      <c r="D54" s="52">
        <f>1063925*H6</f>
        <v>15081136875</v>
      </c>
      <c r="E54" s="52">
        <f>'ROA X3'!F54</f>
        <v>106794257149125</v>
      </c>
      <c r="F54" s="53">
        <f t="shared" si="0"/>
        <v>1.4121674027790701E-4</v>
      </c>
      <c r="H54" s="18"/>
    </row>
    <row r="55" spans="2:8" ht="14.4" thickBot="1" x14ac:dyDescent="0.3">
      <c r="B55" s="116"/>
      <c r="C55" s="43">
        <v>2021</v>
      </c>
      <c r="D55" s="52">
        <f>2138411*H7</f>
        <v>30664813740</v>
      </c>
      <c r="E55" s="52">
        <f>'ROA X3'!F55</f>
        <v>107707007254680</v>
      </c>
      <c r="F55" s="53">
        <f t="shared" si="0"/>
        <v>2.8470583782437775E-4</v>
      </c>
      <c r="H55" s="18"/>
    </row>
    <row r="56" spans="2:8" ht="14.4" thickBot="1" x14ac:dyDescent="0.3">
      <c r="B56" s="116"/>
      <c r="C56" s="43">
        <v>2022</v>
      </c>
      <c r="D56" s="52">
        <f>3166392*H8</f>
        <v>50057491128</v>
      </c>
      <c r="E56" s="52">
        <f>'ROA X3'!F56</f>
        <v>113743541455438</v>
      </c>
      <c r="F56" s="53">
        <f t="shared" si="0"/>
        <v>4.4009084373033459E-4</v>
      </c>
      <c r="H56" s="18"/>
    </row>
    <row r="57" spans="2:8" s="38" customFormat="1" ht="14.4" thickBot="1" x14ac:dyDescent="0.3">
      <c r="B57" s="54"/>
      <c r="C57" s="54" t="s">
        <v>219</v>
      </c>
      <c r="D57" s="50">
        <f>SUM(D52:D56)/5</f>
        <v>41271031110.800003</v>
      </c>
      <c r="E57" s="50">
        <f>SUM(E52:E56)/5</f>
        <v>109359164209582.8</v>
      </c>
      <c r="F57" s="55">
        <f>SUM(F52:F56)/5</f>
        <v>3.7877079703734775E-4</v>
      </c>
      <c r="H57" s="48"/>
    </row>
    <row r="58" spans="2:8" ht="14.4" thickBot="1" x14ac:dyDescent="0.3">
      <c r="B58" s="115" t="s">
        <v>156</v>
      </c>
      <c r="C58" s="43">
        <v>2018</v>
      </c>
      <c r="D58" s="52">
        <f>1141770*H4</f>
        <v>16616178810</v>
      </c>
      <c r="E58" s="52">
        <f>'ROA X3'!F58</f>
        <v>1602496711431</v>
      </c>
      <c r="F58" s="53">
        <f t="shared" si="0"/>
        <v>1.0368931612447466E-2</v>
      </c>
      <c r="H58" s="18"/>
    </row>
    <row r="59" spans="2:8" ht="14.4" thickBot="1" x14ac:dyDescent="0.3">
      <c r="B59" s="116"/>
      <c r="C59" s="43">
        <v>2019</v>
      </c>
      <c r="D59" s="52">
        <f>344384*H5</f>
        <v>4811044480</v>
      </c>
      <c r="E59" s="52">
        <f>'ROA X3'!F59</f>
        <v>2000483506010</v>
      </c>
      <c r="F59" s="53">
        <f t="shared" si="0"/>
        <v>2.4049408383254875E-3</v>
      </c>
      <c r="H59" s="18"/>
    </row>
    <row r="60" spans="2:8" ht="14.4" thickBot="1" x14ac:dyDescent="0.3">
      <c r="B60" s="116"/>
      <c r="C60" s="43">
        <v>2020</v>
      </c>
      <c r="D60" s="52">
        <f>568628*H6</f>
        <v>8060301900</v>
      </c>
      <c r="E60" s="52">
        <f>'ROA X3'!F60</f>
        <v>2081398783275</v>
      </c>
      <c r="F60" s="53">
        <f t="shared" si="0"/>
        <v>3.8725408916197349E-3</v>
      </c>
      <c r="H60" s="18"/>
    </row>
    <row r="61" spans="2:8" ht="14.4" thickBot="1" x14ac:dyDescent="0.3">
      <c r="B61" s="116"/>
      <c r="C61" s="43">
        <v>2021</v>
      </c>
      <c r="D61" s="52">
        <f>1039220*H7</f>
        <v>14902414800</v>
      </c>
      <c r="E61" s="52">
        <f>'ROA X3'!F61</f>
        <v>2312126391000</v>
      </c>
      <c r="F61" s="53">
        <f t="shared" si="0"/>
        <v>6.4453287925815648E-3</v>
      </c>
      <c r="H61" s="18"/>
    </row>
    <row r="62" spans="2:8" ht="14.4" thickBot="1" x14ac:dyDescent="0.3">
      <c r="B62" s="116"/>
      <c r="C62" s="43">
        <v>2022</v>
      </c>
      <c r="D62" s="52">
        <f>112057*H8</f>
        <v>1771509113</v>
      </c>
      <c r="E62" s="52">
        <f>'ROA X3'!F62</f>
        <v>2835414452623</v>
      </c>
      <c r="F62" s="53">
        <f t="shared" si="0"/>
        <v>6.2477960192422769E-4</v>
      </c>
      <c r="H62" s="18"/>
    </row>
    <row r="63" spans="2:8" s="38" customFormat="1" ht="14.4" thickBot="1" x14ac:dyDescent="0.3">
      <c r="B63" s="54"/>
      <c r="C63" s="54" t="s">
        <v>219</v>
      </c>
      <c r="D63" s="50">
        <f>SUM(D58:D62)/5</f>
        <v>9232289820.6000004</v>
      </c>
      <c r="E63" s="50">
        <f>SUM(E58:E62)/5</f>
        <v>2166383968867.8</v>
      </c>
      <c r="F63" s="55">
        <f>SUM(F58:F62)/5</f>
        <v>4.7433043473796965E-3</v>
      </c>
      <c r="H63" s="48"/>
    </row>
    <row r="64" spans="2:8" ht="14.4" thickBot="1" x14ac:dyDescent="0.3">
      <c r="B64" s="115" t="s">
        <v>162</v>
      </c>
      <c r="C64" s="43">
        <v>2018</v>
      </c>
      <c r="D64" s="52">
        <v>22707107991</v>
      </c>
      <c r="E64" s="52">
        <f>'ROA X3'!F64</f>
        <v>24172933000000</v>
      </c>
      <c r="F64" s="53">
        <f t="shared" si="0"/>
        <v>9.3936089555206228E-4</v>
      </c>
      <c r="H64" s="18"/>
    </row>
    <row r="65" spans="2:8" ht="14.4" thickBot="1" x14ac:dyDescent="0.3">
      <c r="B65" s="116"/>
      <c r="C65" s="43">
        <v>2019</v>
      </c>
      <c r="D65" s="52">
        <v>25516230300</v>
      </c>
      <c r="E65" s="52">
        <f>'ROA X3'!F65</f>
        <v>26098052000000</v>
      </c>
      <c r="F65" s="53">
        <f t="shared" si="0"/>
        <v>9.7770631693124064E-4</v>
      </c>
      <c r="H65" s="18"/>
    </row>
    <row r="66" spans="2:8" ht="14.4" thickBot="1" x14ac:dyDescent="0.3">
      <c r="B66" s="116"/>
      <c r="C66" s="43">
        <v>2020</v>
      </c>
      <c r="D66" s="52">
        <v>22781402024</v>
      </c>
      <c r="E66" s="52">
        <f>'ROA X3'!F66</f>
        <v>24056755000000</v>
      </c>
      <c r="F66" s="53">
        <f t="shared" si="0"/>
        <v>9.4698566053484764E-4</v>
      </c>
      <c r="H66" s="18"/>
    </row>
    <row r="67" spans="2:8" ht="14.4" thickBot="1" x14ac:dyDescent="0.3">
      <c r="B67" s="116"/>
      <c r="C67" s="43">
        <v>2021</v>
      </c>
      <c r="D67" s="52">
        <v>24700000000</v>
      </c>
      <c r="E67" s="52">
        <f>'ROA X3'!F67</f>
        <v>36123703000000</v>
      </c>
      <c r="F67" s="53">
        <f t="shared" si="0"/>
        <v>6.8376157339129935E-4</v>
      </c>
      <c r="H67" s="18"/>
    </row>
    <row r="68" spans="2:8" ht="14.4" thickBot="1" x14ac:dyDescent="0.3">
      <c r="B68" s="116"/>
      <c r="C68" s="43">
        <v>2022</v>
      </c>
      <c r="D68" s="52">
        <v>24773157414</v>
      </c>
      <c r="E68" s="52">
        <f>'ROA X3'!F68</f>
        <v>45359207000000</v>
      </c>
      <c r="F68" s="53">
        <f t="shared" si="0"/>
        <v>5.4615499371494743E-4</v>
      </c>
      <c r="H68" s="18"/>
    </row>
    <row r="69" spans="2:8" s="38" customFormat="1" ht="14.4" thickBot="1" x14ac:dyDescent="0.3">
      <c r="B69" s="54"/>
      <c r="C69" s="54" t="s">
        <v>219</v>
      </c>
      <c r="D69" s="50">
        <f>SUM(D64:D68)/5</f>
        <v>24095579545.799999</v>
      </c>
      <c r="E69" s="50">
        <f>SUM(E64:E68)/5</f>
        <v>31162130000000</v>
      </c>
      <c r="F69" s="55">
        <f>SUM(F64:F68)/5</f>
        <v>8.1879388802487949E-4</v>
      </c>
      <c r="H69" s="48"/>
    </row>
    <row r="70" spans="2:8" ht="14.4" thickBot="1" x14ac:dyDescent="0.3">
      <c r="B70" s="115" t="s">
        <v>168</v>
      </c>
      <c r="C70" s="43">
        <v>2018</v>
      </c>
      <c r="D70" s="52">
        <v>1207000000000</v>
      </c>
      <c r="E70" s="52">
        <f>'ROA X3'!F70</f>
        <v>344711000000000</v>
      </c>
      <c r="F70" s="53">
        <f t="shared" si="0"/>
        <v>3.5014838516902566E-3</v>
      </c>
      <c r="H70" s="18"/>
    </row>
    <row r="71" spans="2:8" ht="14.4" thickBot="1" x14ac:dyDescent="0.3">
      <c r="B71" s="116"/>
      <c r="C71" s="43">
        <v>2019</v>
      </c>
      <c r="D71" s="52">
        <v>897000000000</v>
      </c>
      <c r="E71" s="52">
        <f>'ROA X3'!F71</f>
        <v>87376000000000</v>
      </c>
      <c r="F71" s="53">
        <f t="shared" si="0"/>
        <v>1.0265976927302693E-2</v>
      </c>
      <c r="H71" s="18"/>
    </row>
    <row r="72" spans="2:8" ht="14.4" thickBot="1" x14ac:dyDescent="0.3">
      <c r="B72" s="116"/>
      <c r="C72" s="43">
        <v>2020</v>
      </c>
      <c r="D72" s="52">
        <v>1194000000000</v>
      </c>
      <c r="E72" s="52">
        <f>'ROA X3'!F72</f>
        <v>91919000000000</v>
      </c>
      <c r="F72" s="53">
        <f t="shared" si="0"/>
        <v>1.2989697451016656E-2</v>
      </c>
      <c r="G72" s="57">
        <f>F72</f>
        <v>1.2989697451016656E-2</v>
      </c>
      <c r="H72" s="18"/>
    </row>
    <row r="73" spans="2:8" ht="14.4" thickBot="1" x14ac:dyDescent="0.3">
      <c r="B73" s="116"/>
      <c r="C73" s="43">
        <v>2021</v>
      </c>
      <c r="D73" s="52">
        <v>1265000000000</v>
      </c>
      <c r="E73" s="52">
        <f>'ROA X3'!F73</f>
        <v>367311000000000</v>
      </c>
      <c r="F73" s="53">
        <f t="shared" si="0"/>
        <v>3.4439480440280851E-3</v>
      </c>
      <c r="H73" s="18"/>
    </row>
    <row r="74" spans="2:8" ht="14.4" thickBot="1" x14ac:dyDescent="0.3">
      <c r="B74" s="116"/>
      <c r="C74" s="43">
        <v>2022</v>
      </c>
      <c r="D74" s="52">
        <v>1350000000000</v>
      </c>
      <c r="E74" s="52">
        <f>'ROA X3'!F74</f>
        <v>413297000000000</v>
      </c>
      <c r="F74" s="53">
        <f t="shared" si="0"/>
        <v>3.2664161607754232E-3</v>
      </c>
      <c r="H74" s="18"/>
    </row>
    <row r="75" spans="2:8" s="38" customFormat="1" ht="14.4" thickBot="1" x14ac:dyDescent="0.3">
      <c r="B75" s="54"/>
      <c r="C75" s="54" t="s">
        <v>219</v>
      </c>
      <c r="D75" s="50">
        <f>SUM(D70:D74)/5</f>
        <v>1182600000000</v>
      </c>
      <c r="E75" s="50">
        <f>SUM(E70:E74)/5</f>
        <v>260922800000000</v>
      </c>
      <c r="F75" s="55">
        <f>SUM(F70:F74)/5</f>
        <v>6.6935044869626233E-3</v>
      </c>
      <c r="H75" s="48"/>
    </row>
    <row r="76" spans="2:8" ht="14.4" thickBot="1" x14ac:dyDescent="0.3">
      <c r="B76" s="115" t="s">
        <v>173</v>
      </c>
      <c r="C76" s="43">
        <v>2018</v>
      </c>
      <c r="D76" s="52">
        <v>117045000000</v>
      </c>
      <c r="E76" s="52">
        <f>'ROA X3'!F76</f>
        <v>116281017000000</v>
      </c>
      <c r="F76" s="53">
        <f t="shared" si="0"/>
        <v>1.0065701437750583E-3</v>
      </c>
      <c r="H76" s="18"/>
    </row>
    <row r="77" spans="2:8" ht="14.4" thickBot="1" x14ac:dyDescent="0.3">
      <c r="B77" s="116"/>
      <c r="C77" s="43">
        <v>2019</v>
      </c>
      <c r="D77" s="52">
        <v>84308000000</v>
      </c>
      <c r="E77" s="52">
        <f>'ROA X3'!F77</f>
        <v>111713375000000</v>
      </c>
      <c r="F77" s="53">
        <f t="shared" si="0"/>
        <v>7.5468134410942292E-4</v>
      </c>
      <c r="H77" s="18"/>
    </row>
    <row r="78" spans="2:8" ht="14.4" thickBot="1" x14ac:dyDescent="0.3">
      <c r="B78" s="116"/>
      <c r="C78" s="43">
        <v>2020</v>
      </c>
      <c r="D78" s="52">
        <v>36309000000</v>
      </c>
      <c r="E78" s="52">
        <f>'ROA X3'!F78</f>
        <v>99800963000000</v>
      </c>
      <c r="F78" s="53">
        <f t="shared" si="0"/>
        <v>3.638141247194178E-4</v>
      </c>
      <c r="H78" s="18"/>
    </row>
    <row r="79" spans="2:8" ht="14.4" thickBot="1" x14ac:dyDescent="0.3">
      <c r="B79" s="116"/>
      <c r="C79" s="43">
        <v>2021</v>
      </c>
      <c r="D79" s="52">
        <v>55861000000</v>
      </c>
      <c r="E79" s="52">
        <f>'ROA X3'!F79</f>
        <v>112561356000000</v>
      </c>
      <c r="F79" s="53">
        <f t="shared" si="0"/>
        <v>4.9627156232908212E-4</v>
      </c>
      <c r="H79" s="18"/>
    </row>
    <row r="80" spans="2:8" ht="14.4" thickBot="1" x14ac:dyDescent="0.3">
      <c r="B80" s="116"/>
      <c r="C80" s="43">
        <v>2022</v>
      </c>
      <c r="D80" s="52">
        <v>29319000000</v>
      </c>
      <c r="E80" s="52">
        <f>'ROA X3'!F80</f>
        <v>140478220000000</v>
      </c>
      <c r="F80" s="53">
        <f t="shared" si="0"/>
        <v>2.0870851011637248E-4</v>
      </c>
      <c r="H80" s="18"/>
    </row>
    <row r="81" spans="2:8" s="38" customFormat="1" ht="14.4" thickBot="1" x14ac:dyDescent="0.3">
      <c r="B81" s="54"/>
      <c r="C81" s="54" t="s">
        <v>219</v>
      </c>
      <c r="D81" s="50">
        <f>SUM(D76:D80)/5</f>
        <v>64568400000</v>
      </c>
      <c r="E81" s="50">
        <f>SUM(E76:E80)/5</f>
        <v>116166986200000</v>
      </c>
      <c r="F81" s="55">
        <f>SUM(F76:F80)/5</f>
        <v>5.660091370098707E-4</v>
      </c>
      <c r="H81" s="48"/>
    </row>
    <row r="82" spans="2:8" ht="14.4" thickBot="1" x14ac:dyDescent="0.3">
      <c r="B82" s="115" t="s">
        <v>174</v>
      </c>
      <c r="C82" s="43">
        <v>2018</v>
      </c>
      <c r="D82" s="52">
        <v>186498000000</v>
      </c>
      <c r="E82" s="52">
        <f>'ROA X3'!F82</f>
        <v>57613954000000</v>
      </c>
      <c r="F82" s="53">
        <f t="shared" si="0"/>
        <v>3.237028307413166E-3</v>
      </c>
      <c r="H82" s="18"/>
    </row>
    <row r="83" spans="2:8" ht="14.4" thickBot="1" x14ac:dyDescent="0.3">
      <c r="B83" s="116"/>
      <c r="C83" s="43">
        <v>2019</v>
      </c>
      <c r="D83" s="56">
        <v>178825000000</v>
      </c>
      <c r="E83" s="52">
        <f>'ROA X3'!F83</f>
        <v>62725000000000</v>
      </c>
      <c r="F83" s="53">
        <f t="shared" si="0"/>
        <v>2.8509366281387009E-3</v>
      </c>
      <c r="H83" s="18"/>
    </row>
    <row r="84" spans="2:8" ht="14.4" thickBot="1" x14ac:dyDescent="0.3">
      <c r="B84" s="116"/>
      <c r="C84" s="43">
        <v>2020</v>
      </c>
      <c r="D84" s="52">
        <v>81150000000</v>
      </c>
      <c r="E84" s="52">
        <f>'ROA X3'!F84</f>
        <v>67745000000000</v>
      </c>
      <c r="F84" s="53">
        <f t="shared" si="0"/>
        <v>1.1978743818732011E-3</v>
      </c>
      <c r="H84" s="18"/>
    </row>
    <row r="85" spans="2:8" ht="14.4" thickBot="1" x14ac:dyDescent="0.3">
      <c r="B85" s="116"/>
      <c r="C85" s="43">
        <v>2021</v>
      </c>
      <c r="D85" s="52">
        <v>122508000000</v>
      </c>
      <c r="E85" s="52">
        <f>'ROA X3'!F85</f>
        <v>112561356000000</v>
      </c>
      <c r="F85" s="53">
        <f t="shared" si="0"/>
        <v>1.0883664194663754E-3</v>
      </c>
      <c r="H85" s="18"/>
    </row>
    <row r="86" spans="2:8" ht="14.4" thickBot="1" x14ac:dyDescent="0.3">
      <c r="B86" s="116"/>
      <c r="C86" s="43">
        <v>2022</v>
      </c>
      <c r="D86" s="52">
        <v>147059000000</v>
      </c>
      <c r="E86" s="52">
        <f>'ROA X3'!F86</f>
        <v>140478220000000</v>
      </c>
      <c r="F86" s="53">
        <f t="shared" si="0"/>
        <v>1.0468455537093223E-3</v>
      </c>
      <c r="H86" s="18"/>
    </row>
    <row r="87" spans="2:8" s="38" customFormat="1" ht="14.4" thickBot="1" x14ac:dyDescent="0.3">
      <c r="B87" s="54"/>
      <c r="C87" s="54" t="s">
        <v>219</v>
      </c>
      <c r="D87" s="50">
        <f>SUM(D82:D86)/5</f>
        <v>143208000000</v>
      </c>
      <c r="E87" s="50">
        <f>SUM(E82:E86)/5</f>
        <v>88224706000000</v>
      </c>
      <c r="F87" s="55">
        <f>SUM(F82:F86)/5</f>
        <v>1.8842102581201532E-3</v>
      </c>
      <c r="H87" s="48"/>
    </row>
    <row r="88" spans="2:8" ht="14.4" thickBot="1" x14ac:dyDescent="0.3">
      <c r="B88" s="115" t="s">
        <v>175</v>
      </c>
      <c r="C88" s="43">
        <v>2018</v>
      </c>
      <c r="D88" s="52">
        <f>32700000000+3400000000</f>
        <v>36100000000</v>
      </c>
      <c r="E88" s="52">
        <f>'ROA X3'!F88</f>
        <v>82418600790000</v>
      </c>
      <c r="F88" s="53">
        <f t="shared" si="0"/>
        <v>4.3800792119708104E-4</v>
      </c>
      <c r="H88" s="18"/>
    </row>
    <row r="89" spans="2:8" ht="14.4" thickBot="1" x14ac:dyDescent="0.3">
      <c r="B89" s="116"/>
      <c r="C89" s="43">
        <v>2019</v>
      </c>
      <c r="D89" s="52">
        <v>32700000000</v>
      </c>
      <c r="E89" s="52">
        <f>'ROA X3'!F89</f>
        <v>99679570000000</v>
      </c>
      <c r="F89" s="53">
        <f t="shared" si="0"/>
        <v>3.2805117437805962E-4</v>
      </c>
      <c r="H89" s="18"/>
    </row>
    <row r="90" spans="2:8" ht="14.4" thickBot="1" x14ac:dyDescent="0.3">
      <c r="B90" s="116"/>
      <c r="C90" s="43">
        <v>2020</v>
      </c>
      <c r="D90" s="52">
        <v>8800000000</v>
      </c>
      <c r="E90" s="52">
        <f>'ROA X3'!F91</f>
        <v>101242884000000</v>
      </c>
      <c r="F90" s="53">
        <f t="shared" si="0"/>
        <v>8.691968909143284E-5</v>
      </c>
      <c r="H90" s="18"/>
    </row>
    <row r="91" spans="2:8" ht="14.4" thickBot="1" x14ac:dyDescent="0.3">
      <c r="B91" s="116"/>
      <c r="C91" s="43">
        <v>2021</v>
      </c>
      <c r="D91" s="52">
        <v>6700000000</v>
      </c>
      <c r="E91" s="52">
        <f>'ROA X3'!F92</f>
        <v>91139182000000</v>
      </c>
      <c r="F91" s="53">
        <f t="shared" si="0"/>
        <v>7.3513936080751743E-5</v>
      </c>
      <c r="H91" s="18"/>
    </row>
    <row r="92" spans="2:8" ht="14.4" thickBot="1" x14ac:dyDescent="0.3">
      <c r="B92" s="116"/>
      <c r="C92" s="43">
        <v>2022</v>
      </c>
      <c r="D92" s="52">
        <v>6500000000</v>
      </c>
      <c r="E92" s="52">
        <f>'ROA X3'!F92</f>
        <v>91139182000000</v>
      </c>
      <c r="F92" s="53">
        <f t="shared" si="0"/>
        <v>7.1319490227594981E-5</v>
      </c>
      <c r="H92" s="18"/>
    </row>
    <row r="93" spans="2:8" s="38" customFormat="1" ht="14.4" thickBot="1" x14ac:dyDescent="0.3">
      <c r="B93" s="54"/>
      <c r="C93" s="54" t="s">
        <v>219</v>
      </c>
      <c r="D93" s="50">
        <f>SUM(D88:D92)/5</f>
        <v>18160000000</v>
      </c>
      <c r="E93" s="50">
        <f>SUM(E88:E92)/5</f>
        <v>93123883758000</v>
      </c>
      <c r="F93" s="55">
        <f>SUM(F88:F92)/5</f>
        <v>1.9956244219498402E-4</v>
      </c>
      <c r="H93" s="48"/>
    </row>
    <row r="94" spans="2:8" ht="14.4" thickBot="1" x14ac:dyDescent="0.3">
      <c r="B94" s="115" t="s">
        <v>176</v>
      </c>
      <c r="C94" s="43">
        <v>2018</v>
      </c>
      <c r="D94" s="52">
        <v>12490842388</v>
      </c>
      <c r="E94" s="52">
        <f>'ROA X3'!F94</f>
        <v>52549150902972</v>
      </c>
      <c r="F94" s="53">
        <f t="shared" si="0"/>
        <v>2.376982724433243E-4</v>
      </c>
      <c r="H94" s="18"/>
    </row>
    <row r="95" spans="2:8" ht="14.4" thickBot="1" x14ac:dyDescent="0.3">
      <c r="B95" s="116"/>
      <c r="C95" s="43">
        <v>2019</v>
      </c>
      <c r="D95" s="52">
        <v>9254804234</v>
      </c>
      <c r="E95" s="52">
        <f>'ROA X3'!F95</f>
        <v>56130526187076</v>
      </c>
      <c r="F95" s="53">
        <f t="shared" si="0"/>
        <v>1.6488005480573794E-4</v>
      </c>
      <c r="H95" s="18"/>
    </row>
    <row r="96" spans="2:8" ht="14.4" thickBot="1" x14ac:dyDescent="0.3">
      <c r="B96" s="116"/>
      <c r="C96" s="43">
        <v>2020</v>
      </c>
      <c r="D96" s="52">
        <v>359895155392</v>
      </c>
      <c r="E96" s="52">
        <f>'ROA X3'!F96</f>
        <v>53472450650976</v>
      </c>
      <c r="F96" s="53">
        <f t="shared" si="0"/>
        <v>6.7304780501102968E-3</v>
      </c>
      <c r="H96" s="18"/>
    </row>
    <row r="97" spans="2:8" ht="14.4" thickBot="1" x14ac:dyDescent="0.3">
      <c r="B97" s="116"/>
      <c r="C97" s="43">
        <v>2021</v>
      </c>
      <c r="D97" s="52">
        <v>128473123883</v>
      </c>
      <c r="E97" s="52">
        <f>'ROA X3'!F97</f>
        <v>55573843735084</v>
      </c>
      <c r="F97" s="53">
        <f t="shared" si="0"/>
        <v>2.3117552295900379E-3</v>
      </c>
      <c r="H97" s="18"/>
    </row>
    <row r="98" spans="2:8" ht="14.4" thickBot="1" x14ac:dyDescent="0.3">
      <c r="B98" s="116"/>
      <c r="C98" s="43">
        <v>2022</v>
      </c>
      <c r="D98" s="52">
        <v>82513576176</v>
      </c>
      <c r="E98" s="52">
        <f>'ROA X3'!F98</f>
        <v>57612383140536</v>
      </c>
      <c r="F98" s="53">
        <f t="shared" si="0"/>
        <v>1.4322194583536252E-3</v>
      </c>
      <c r="H98" s="18"/>
    </row>
    <row r="99" spans="2:8" s="38" customFormat="1" ht="14.4" thickBot="1" x14ac:dyDescent="0.3">
      <c r="B99" s="54"/>
      <c r="C99" s="54" t="s">
        <v>219</v>
      </c>
      <c r="D99" s="50">
        <f>SUM(D94:D98)/5</f>
        <v>118525500414.60001</v>
      </c>
      <c r="E99" s="50">
        <f>SUM(E94:E98)/5</f>
        <v>55067670923328.797</v>
      </c>
      <c r="F99" s="55">
        <f>SUM(F94:F98)/5</f>
        <v>2.1754062130606043E-3</v>
      </c>
      <c r="H99" s="48"/>
    </row>
    <row r="100" spans="2:8" ht="14.4" thickBot="1" x14ac:dyDescent="0.3">
      <c r="B100" s="115" t="s">
        <v>177</v>
      </c>
      <c r="C100" s="43">
        <v>2018</v>
      </c>
      <c r="D100" s="52">
        <v>7887000000</v>
      </c>
      <c r="E100" s="52">
        <f>'ROA X3'!F100</f>
        <v>26856967000000</v>
      </c>
      <c r="F100" s="53">
        <f t="shared" si="0"/>
        <v>2.9366681650984638E-4</v>
      </c>
      <c r="H100" s="18"/>
    </row>
    <row r="101" spans="2:8" ht="14.4" thickBot="1" x14ac:dyDescent="0.3">
      <c r="B101" s="116"/>
      <c r="C101" s="43">
        <v>2019</v>
      </c>
      <c r="D101" s="52">
        <v>11713000000</v>
      </c>
      <c r="E101" s="52">
        <f>'ROA X3'!F101</f>
        <v>26974124000000</v>
      </c>
      <c r="F101" s="53">
        <f t="shared" si="0"/>
        <v>4.3423096890931473E-4</v>
      </c>
      <c r="H101" s="18"/>
    </row>
    <row r="102" spans="2:8" ht="14.4" thickBot="1" x14ac:dyDescent="0.3">
      <c r="B102" s="116"/>
      <c r="C102" s="43">
        <v>2020</v>
      </c>
      <c r="D102" s="52">
        <v>11443000000</v>
      </c>
      <c r="E102" s="52">
        <f>'ROA X3'!F102</f>
        <v>27781231000000</v>
      </c>
      <c r="F102" s="53">
        <f t="shared" si="0"/>
        <v>4.1189679463807775E-4</v>
      </c>
      <c r="H102" s="18"/>
    </row>
    <row r="103" spans="2:8" ht="14.4" thickBot="1" x14ac:dyDescent="0.3">
      <c r="B103" s="116"/>
      <c r="C103" s="43">
        <v>2021</v>
      </c>
      <c r="D103" s="52">
        <v>14448000000</v>
      </c>
      <c r="E103" s="52">
        <f>'ROA X3'!F103</f>
        <v>30399906000000</v>
      </c>
      <c r="F103" s="53">
        <f t="shared" si="0"/>
        <v>4.7526462746299279E-4</v>
      </c>
      <c r="H103" s="18"/>
    </row>
    <row r="104" spans="2:8" ht="14.4" thickBot="1" x14ac:dyDescent="0.3">
      <c r="B104" s="116"/>
      <c r="C104" s="43">
        <v>2022</v>
      </c>
      <c r="D104" s="52">
        <v>14832000000</v>
      </c>
      <c r="E104" s="52">
        <f>'ROA X3'!F104</f>
        <v>29249340000000</v>
      </c>
      <c r="F104" s="53">
        <f t="shared" si="0"/>
        <v>5.0708836507080155E-4</v>
      </c>
      <c r="H104" s="18"/>
    </row>
    <row r="105" spans="2:8" s="38" customFormat="1" ht="14.4" thickBot="1" x14ac:dyDescent="0.3">
      <c r="B105" s="54"/>
      <c r="C105" s="54" t="s">
        <v>219</v>
      </c>
      <c r="D105" s="50">
        <f>SUM(D100:D104)/5</f>
        <v>12064600000</v>
      </c>
      <c r="E105" s="50">
        <f>SUM(E100:E104)/5</f>
        <v>28252313600000</v>
      </c>
      <c r="F105" s="55">
        <f>SUM(F100:F104)/5</f>
        <v>4.2442951451820662E-4</v>
      </c>
      <c r="H105" s="48"/>
    </row>
    <row r="106" spans="2:8" ht="14.4" thickBot="1" x14ac:dyDescent="0.3">
      <c r="B106" s="115" t="s">
        <v>178</v>
      </c>
      <c r="C106" s="43">
        <v>2018</v>
      </c>
      <c r="D106" s="52">
        <v>48249064000</v>
      </c>
      <c r="E106" s="52">
        <f>'ROA X3'!F106</f>
        <v>59230001239000</v>
      </c>
      <c r="F106" s="53">
        <f t="shared" si="0"/>
        <v>8.1460514926058115E-4</v>
      </c>
      <c r="H106" s="18"/>
    </row>
    <row r="107" spans="2:8" ht="14.4" thickBot="1" x14ac:dyDescent="0.3">
      <c r="B107" s="116"/>
      <c r="C107" s="43">
        <v>2019</v>
      </c>
      <c r="D107" s="52">
        <v>54472388000</v>
      </c>
      <c r="E107" s="52">
        <f>'ROA X3'!F107</f>
        <v>62110847154000</v>
      </c>
      <c r="F107" s="53">
        <f t="shared" si="0"/>
        <v>8.7701891853027032E-4</v>
      </c>
      <c r="H107" s="18"/>
    </row>
    <row r="108" spans="2:8" ht="14.4" thickBot="1" x14ac:dyDescent="0.3">
      <c r="B108" s="116"/>
      <c r="C108" s="43">
        <v>2020</v>
      </c>
      <c r="D108" s="52">
        <v>35638316000</v>
      </c>
      <c r="E108" s="52">
        <f>'ROA X3'!F108</f>
        <v>68109185213000</v>
      </c>
      <c r="F108" s="53">
        <f t="shared" si="0"/>
        <v>5.2325271383804064E-4</v>
      </c>
      <c r="H108" s="18"/>
    </row>
    <row r="109" spans="2:8" ht="14.4" thickBot="1" x14ac:dyDescent="0.3">
      <c r="B109" s="116"/>
      <c r="C109" s="43">
        <v>2021</v>
      </c>
      <c r="D109" s="52">
        <v>30209799000</v>
      </c>
      <c r="E109" s="52">
        <f>'ROA X3'!F109</f>
        <v>69385794346000</v>
      </c>
      <c r="F109" s="53">
        <f t="shared" si="0"/>
        <v>4.3538881819750409E-4</v>
      </c>
      <c r="H109" s="18"/>
    </row>
    <row r="110" spans="2:8" ht="14.4" thickBot="1" x14ac:dyDescent="0.3">
      <c r="B110" s="116"/>
      <c r="C110" s="43">
        <v>2022</v>
      </c>
      <c r="D110" s="52">
        <v>32205366000</v>
      </c>
      <c r="E110" s="52">
        <f>'ROA X3'!F110</f>
        <v>75069604222000</v>
      </c>
      <c r="F110" s="53">
        <f t="shared" si="0"/>
        <v>4.2900673759729043E-4</v>
      </c>
      <c r="H110" s="18"/>
    </row>
    <row r="111" spans="2:8" s="38" customFormat="1" ht="14.4" thickBot="1" x14ac:dyDescent="0.3">
      <c r="B111" s="54"/>
      <c r="C111" s="54" t="s">
        <v>219</v>
      </c>
      <c r="D111" s="50">
        <f>SUM(D106:D110)/5</f>
        <v>40154986600</v>
      </c>
      <c r="E111" s="50">
        <f>SUM(E106:E110)/5</f>
        <v>66781086434800</v>
      </c>
      <c r="F111" s="55">
        <f>SUM(F106:F110)/5</f>
        <v>6.1585446748473732E-4</v>
      </c>
      <c r="H111" s="48"/>
    </row>
    <row r="112" spans="2:8" ht="14.4" thickBot="1" x14ac:dyDescent="0.3">
      <c r="B112" s="115" t="s">
        <v>179</v>
      </c>
      <c r="C112" s="43">
        <v>2018</v>
      </c>
      <c r="D112" s="56">
        <v>5600010539</v>
      </c>
      <c r="E112" s="52">
        <f>'ROA X3'!F112</f>
        <v>124391581623636</v>
      </c>
      <c r="F112" s="53">
        <f t="shared" si="0"/>
        <v>4.5019208421544228E-5</v>
      </c>
      <c r="H112" s="18"/>
    </row>
    <row r="113" spans="2:8" ht="14.4" thickBot="1" x14ac:dyDescent="0.3">
      <c r="B113" s="116"/>
      <c r="C113" s="43">
        <v>2019</v>
      </c>
      <c r="D113" s="52">
        <v>12160086669</v>
      </c>
      <c r="E113" s="52">
        <f>'ROA X3'!F113</f>
        <v>122589259350571</v>
      </c>
      <c r="F113" s="53">
        <f t="shared" si="0"/>
        <v>9.9193736330729866E-5</v>
      </c>
      <c r="H113" s="18"/>
    </row>
    <row r="114" spans="2:8" ht="14.4" thickBot="1" x14ac:dyDescent="0.3">
      <c r="B114" s="116"/>
      <c r="C114" s="43">
        <v>2020</v>
      </c>
      <c r="D114" s="52">
        <v>50573612436</v>
      </c>
      <c r="E114" s="52">
        <f>'ROA X3'!F114</f>
        <v>105588960060005</v>
      </c>
      <c r="F114" s="53">
        <f t="shared" si="0"/>
        <v>4.7896685796753366E-4</v>
      </c>
      <c r="H114" s="18"/>
    </row>
    <row r="115" spans="2:8" ht="14.4" thickBot="1" x14ac:dyDescent="0.3">
      <c r="B115" s="116"/>
      <c r="C115" s="43">
        <v>2021</v>
      </c>
      <c r="D115" s="52">
        <v>28141510744</v>
      </c>
      <c r="E115" s="52">
        <f>'ROA X3'!F115</f>
        <v>103601611883340</v>
      </c>
      <c r="F115" s="53">
        <f t="shared" si="0"/>
        <v>2.7163197784691405E-4</v>
      </c>
      <c r="H115" s="18"/>
    </row>
    <row r="116" spans="2:8" ht="14.4" thickBot="1" x14ac:dyDescent="0.3">
      <c r="B116" s="116"/>
      <c r="C116" s="43">
        <v>2022</v>
      </c>
      <c r="D116" s="52">
        <v>146885453976</v>
      </c>
      <c r="E116" s="52">
        <f>'ROA X3'!F116</f>
        <v>98232316628846</v>
      </c>
      <c r="F116" s="53">
        <f t="shared" si="0"/>
        <v>1.4952864700420489E-3</v>
      </c>
      <c r="H116" s="18"/>
    </row>
    <row r="117" spans="2:8" s="38" customFormat="1" ht="14.4" thickBot="1" x14ac:dyDescent="0.3">
      <c r="B117" s="54"/>
      <c r="C117" s="54" t="s">
        <v>219</v>
      </c>
      <c r="D117" s="50">
        <f>SUM(D112:D116)/5</f>
        <v>48672134872.800003</v>
      </c>
      <c r="E117" s="50">
        <f>SUM(E112:E116)/5</f>
        <v>110880745909279.59</v>
      </c>
      <c r="F117" s="55">
        <f>SUM(F112:F116)/5</f>
        <v>4.7801965012175411E-4</v>
      </c>
      <c r="H117" s="48"/>
    </row>
    <row r="118" spans="2:8" ht="14.4" thickBot="1" x14ac:dyDescent="0.3">
      <c r="B118" s="115" t="s">
        <v>180</v>
      </c>
      <c r="C118" s="43">
        <v>2018</v>
      </c>
      <c r="D118" s="52">
        <f>1018000*H4</f>
        <v>14814954000</v>
      </c>
      <c r="E118" s="52">
        <f>'ROA X3'!F118</f>
        <v>5984557425000</v>
      </c>
      <c r="F118" s="53">
        <f t="shared" si="0"/>
        <v>2.4755304273816037E-3</v>
      </c>
      <c r="H118" s="18"/>
    </row>
    <row r="119" spans="2:8" ht="14.4" thickBot="1" x14ac:dyDescent="0.3">
      <c r="B119" s="116"/>
      <c r="C119" s="43">
        <v>2019</v>
      </c>
      <c r="D119" s="52">
        <f>1190000*H5</f>
        <v>16624300000</v>
      </c>
      <c r="E119" s="52">
        <f>'ROA X3'!F119</f>
        <v>6717977420000</v>
      </c>
      <c r="F119" s="53">
        <f t="shared" si="0"/>
        <v>2.4745989694023116E-3</v>
      </c>
      <c r="H119" s="18"/>
    </row>
    <row r="120" spans="2:8" ht="14.4" thickBot="1" x14ac:dyDescent="0.3">
      <c r="B120" s="116"/>
      <c r="C120" s="43">
        <v>2020</v>
      </c>
      <c r="D120" s="52">
        <f>1210000*H6</f>
        <v>17151750000</v>
      </c>
      <c r="E120" s="52">
        <f>'ROA X3'!F120</f>
        <v>6586229475000</v>
      </c>
      <c r="F120" s="53">
        <f t="shared" si="0"/>
        <v>2.6041834808678602E-3</v>
      </c>
      <c r="H120" s="18"/>
    </row>
    <row r="121" spans="2:8" ht="14.4" thickBot="1" x14ac:dyDescent="0.3">
      <c r="B121" s="116"/>
      <c r="C121" s="43">
        <v>2021</v>
      </c>
      <c r="D121" s="52">
        <f>1428000*H7</f>
        <v>20477520000</v>
      </c>
      <c r="E121" s="52">
        <f>'ROA X3'!F121</f>
        <v>6805032660000</v>
      </c>
      <c r="F121" s="53">
        <f t="shared" si="0"/>
        <v>3.0091729199724368E-3</v>
      </c>
      <c r="H121" s="18"/>
    </row>
    <row r="122" spans="2:8" ht="14.4" thickBot="1" x14ac:dyDescent="0.3">
      <c r="B122" s="116"/>
      <c r="C122" s="43">
        <v>2022</v>
      </c>
      <c r="D122" s="52">
        <f>1703000*H8</f>
        <v>26922727000</v>
      </c>
      <c r="E122" s="52">
        <f>'ROA X3'!F122</f>
        <v>7395481818000</v>
      </c>
      <c r="F122" s="53">
        <f t="shared" si="0"/>
        <v>3.6404290704186815E-3</v>
      </c>
      <c r="H122" s="18"/>
    </row>
    <row r="123" spans="2:8" s="38" customFormat="1" ht="14.4" thickBot="1" x14ac:dyDescent="0.3">
      <c r="B123" s="54"/>
      <c r="C123" s="54" t="s">
        <v>219</v>
      </c>
      <c r="D123" s="50">
        <f>SUM(D118:D122)/5</f>
        <v>19198250200</v>
      </c>
      <c r="E123" s="50">
        <f>SUM(E118:E122)/5</f>
        <v>6697855759600</v>
      </c>
      <c r="F123" s="55">
        <f>SUM(F118:F122)/5</f>
        <v>2.8407829736085792E-3</v>
      </c>
      <c r="H123" s="48"/>
    </row>
    <row r="124" spans="2:8" ht="14.4" thickBot="1" x14ac:dyDescent="0.3">
      <c r="B124" s="115" t="s">
        <v>181</v>
      </c>
      <c r="C124" s="43">
        <v>2018</v>
      </c>
      <c r="D124" s="52">
        <v>11498000000</v>
      </c>
      <c r="E124" s="52">
        <f>'ROA X3'!F124</f>
        <v>27788562000000</v>
      </c>
      <c r="F124" s="53">
        <f t="shared" si="0"/>
        <v>4.1376736226941141E-4</v>
      </c>
      <c r="H124" s="18"/>
    </row>
    <row r="125" spans="2:8" ht="14.4" thickBot="1" x14ac:dyDescent="0.3">
      <c r="B125" s="116"/>
      <c r="C125" s="43">
        <v>2019</v>
      </c>
      <c r="D125" s="52">
        <v>9816000000</v>
      </c>
      <c r="E125" s="52">
        <f>'ROA X3'!F125</f>
        <v>27707749000000</v>
      </c>
      <c r="F125" s="53">
        <f t="shared" si="0"/>
        <v>3.5426912521836399E-4</v>
      </c>
      <c r="H125" s="18"/>
    </row>
    <row r="126" spans="2:8" ht="14.4" thickBot="1" x14ac:dyDescent="0.3">
      <c r="B126" s="116"/>
      <c r="C126" s="43">
        <v>2020</v>
      </c>
      <c r="D126" s="52">
        <v>8160000000</v>
      </c>
      <c r="E126" s="52">
        <f>'ROA X3'!F126</f>
        <v>27344672000000</v>
      </c>
      <c r="F126" s="53">
        <f t="shared" si="0"/>
        <v>2.984127950044528E-4</v>
      </c>
      <c r="H126" s="18"/>
    </row>
    <row r="127" spans="2:8" ht="14.4" thickBot="1" x14ac:dyDescent="0.3">
      <c r="B127" s="116"/>
      <c r="C127" s="43">
        <v>2021</v>
      </c>
      <c r="D127" s="52">
        <v>9081000000</v>
      </c>
      <c r="E127" s="52">
        <f>'ROA X3'!F127</f>
        <v>26136114000000</v>
      </c>
      <c r="F127" s="53">
        <f t="shared" si="0"/>
        <v>3.4745027512506256E-4</v>
      </c>
      <c r="H127" s="18"/>
    </row>
    <row r="128" spans="2:8" ht="14.4" thickBot="1" x14ac:dyDescent="0.3">
      <c r="B128" s="116"/>
      <c r="C128" s="43">
        <v>2022</v>
      </c>
      <c r="D128" s="52">
        <v>11201000000</v>
      </c>
      <c r="E128" s="52">
        <f>'ROA X3'!F128</f>
        <v>25706169000000</v>
      </c>
      <c r="F128" s="53">
        <f t="shared" si="0"/>
        <v>4.3573198324495569E-4</v>
      </c>
      <c r="H128" s="18"/>
    </row>
    <row r="129" spans="2:8" s="38" customFormat="1" ht="14.4" thickBot="1" x14ac:dyDescent="0.3">
      <c r="B129" s="54"/>
      <c r="C129" s="54" t="s">
        <v>219</v>
      </c>
      <c r="D129" s="50">
        <f>SUM(D124:D128)/5</f>
        <v>9951200000</v>
      </c>
      <c r="E129" s="50">
        <f>SUM(E124:E128)/5</f>
        <v>26936653200000</v>
      </c>
      <c r="F129" s="55">
        <f>SUM(F124:F128)/5</f>
        <v>3.6992630817244928E-4</v>
      </c>
      <c r="H129" s="48"/>
    </row>
    <row r="130" spans="2:8" ht="14.4" thickBot="1" x14ac:dyDescent="0.3">
      <c r="B130" s="115" t="s">
        <v>182</v>
      </c>
      <c r="C130" s="43">
        <v>2018</v>
      </c>
      <c r="D130" s="52">
        <v>1773000000</v>
      </c>
      <c r="E130" s="52">
        <f>'ROA X3'!F130</f>
        <v>18667187000000</v>
      </c>
      <c r="F130" s="53">
        <f t="shared" si="0"/>
        <v>9.4979495303711267E-5</v>
      </c>
      <c r="H130" s="18"/>
    </row>
    <row r="131" spans="2:8" ht="14.4" thickBot="1" x14ac:dyDescent="0.3">
      <c r="B131" s="116"/>
      <c r="C131" s="43">
        <v>2019</v>
      </c>
      <c r="D131" s="52">
        <v>2470000000</v>
      </c>
      <c r="E131" s="52">
        <f>'ROA X3'!F131</f>
        <v>19567498000000</v>
      </c>
      <c r="F131" s="53">
        <f t="shared" si="0"/>
        <v>1.2622973054603098E-4</v>
      </c>
      <c r="H131" s="18"/>
    </row>
    <row r="132" spans="2:8" ht="14.4" thickBot="1" x14ac:dyDescent="0.3">
      <c r="B132" s="116"/>
      <c r="C132" s="43">
        <v>2020</v>
      </c>
      <c r="D132" s="52">
        <v>113000000</v>
      </c>
      <c r="E132" s="52">
        <f>'ROA X3'!F132</f>
        <v>20738125000000</v>
      </c>
      <c r="F132" s="53">
        <f t="shared" si="0"/>
        <v>5.4489014797625147E-6</v>
      </c>
      <c r="H132" s="18"/>
    </row>
    <row r="133" spans="2:8" ht="14.4" thickBot="1" x14ac:dyDescent="0.3">
      <c r="B133" s="116"/>
      <c r="C133" s="43">
        <v>2021</v>
      </c>
      <c r="D133" s="52">
        <v>1205000000</v>
      </c>
      <c r="E133" s="52">
        <f>'ROA X3'!F133</f>
        <v>21491023000000</v>
      </c>
      <c r="F133" s="53">
        <f t="shared" si="0"/>
        <v>5.6069922776593745E-5</v>
      </c>
      <c r="H133" s="18"/>
    </row>
    <row r="134" spans="2:8" ht="14.4" thickBot="1" x14ac:dyDescent="0.3">
      <c r="B134" s="116"/>
      <c r="C134" s="43">
        <v>2022</v>
      </c>
      <c r="D134" s="52">
        <v>796000000</v>
      </c>
      <c r="E134" s="52">
        <f>'ROA X3'!F134</f>
        <v>21378510000000</v>
      </c>
      <c r="F134" s="53">
        <f t="shared" si="0"/>
        <v>3.72336519242922E-5</v>
      </c>
      <c r="H134" s="18"/>
    </row>
    <row r="135" spans="2:8" s="38" customFormat="1" ht="14.4" thickBot="1" x14ac:dyDescent="0.3">
      <c r="B135" s="54"/>
      <c r="C135" s="54" t="s">
        <v>219</v>
      </c>
      <c r="D135" s="50">
        <f>SUM(D130:D134)/5</f>
        <v>1271400000</v>
      </c>
      <c r="E135" s="50">
        <f>SUM(E130:E134)/5</f>
        <v>20368468600000</v>
      </c>
      <c r="F135" s="55">
        <f>SUM(F130:F134)/5</f>
        <v>6.3992340406078142E-5</v>
      </c>
      <c r="H135" s="48"/>
    </row>
    <row r="136" spans="2:8" ht="14.4" thickBot="1" x14ac:dyDescent="0.3">
      <c r="B136" s="115" t="s">
        <v>183</v>
      </c>
      <c r="C136" s="43">
        <v>2018</v>
      </c>
      <c r="D136" s="52">
        <v>40970568620</v>
      </c>
      <c r="E136" s="52">
        <f>'ROA X3'!F136</f>
        <v>62493190581375</v>
      </c>
      <c r="F136" s="53">
        <f t="shared" si="0"/>
        <v>6.5560052605492282E-4</v>
      </c>
      <c r="H136" s="18"/>
    </row>
    <row r="137" spans="2:8" ht="14.4" thickBot="1" x14ac:dyDescent="0.3">
      <c r="B137" s="116"/>
      <c r="C137" s="43">
        <v>2019</v>
      </c>
      <c r="D137" s="52">
        <v>39252469224</v>
      </c>
      <c r="E137" s="52">
        <f>'ROA X3'!F137</f>
        <v>75818614841004</v>
      </c>
      <c r="F137" s="53">
        <f t="shared" si="0"/>
        <v>5.1771546217659991E-4</v>
      </c>
      <c r="H137" s="18"/>
    </row>
    <row r="138" spans="2:8" ht="14.4" thickBot="1" x14ac:dyDescent="0.3">
      <c r="B138" s="116"/>
      <c r="C138" s="43">
        <v>2020</v>
      </c>
      <c r="D138" s="52">
        <v>158382000000</v>
      </c>
      <c r="E138" s="52">
        <f>'ROA X3'!F138</f>
        <v>100740244241489</v>
      </c>
      <c r="F138" s="53">
        <f t="shared" si="0"/>
        <v>1.5721820131816967E-3</v>
      </c>
      <c r="H138" s="18"/>
    </row>
    <row r="139" spans="2:8" ht="14.4" thickBot="1" x14ac:dyDescent="0.3">
      <c r="B139" s="116"/>
      <c r="C139" s="43">
        <v>2021</v>
      </c>
      <c r="D139" s="52">
        <v>160089000000</v>
      </c>
      <c r="E139" s="52">
        <f>'ROA X3'!F139</f>
        <v>114502100088563</v>
      </c>
      <c r="F139" s="53">
        <f t="shared" si="0"/>
        <v>1.3981315615711613E-3</v>
      </c>
      <c r="H139" s="18"/>
    </row>
    <row r="140" spans="2:8" ht="14.4" thickBot="1" x14ac:dyDescent="0.3">
      <c r="B140" s="116"/>
      <c r="C140" s="43">
        <v>2022</v>
      </c>
      <c r="D140" s="52">
        <v>235527000000</v>
      </c>
      <c r="E140" s="52">
        <f>'ROA X3'!F140</f>
        <v>117128782653398</v>
      </c>
      <c r="F140" s="53">
        <f t="shared" si="0"/>
        <v>2.0108379397825765E-3</v>
      </c>
      <c r="H140" s="18"/>
    </row>
    <row r="141" spans="2:8" s="38" customFormat="1" ht="14.4" thickBot="1" x14ac:dyDescent="0.3">
      <c r="B141" s="54"/>
      <c r="C141" s="54" t="s">
        <v>219</v>
      </c>
      <c r="D141" s="50">
        <f>SUM(D136:D140)/5</f>
        <v>126844207568.8</v>
      </c>
      <c r="E141" s="50">
        <f>SUM(E136:E140)/5</f>
        <v>94136586481165.797</v>
      </c>
      <c r="F141" s="55">
        <f>SUM(F136:F140)/5</f>
        <v>1.2308935005533913E-3</v>
      </c>
      <c r="H141" s="48"/>
    </row>
    <row r="142" spans="2:8" ht="14.4" thickBot="1" x14ac:dyDescent="0.3">
      <c r="B142" s="115" t="s">
        <v>184</v>
      </c>
      <c r="C142" s="43">
        <v>2018</v>
      </c>
      <c r="D142" s="52">
        <v>15074409189</v>
      </c>
      <c r="E142" s="52">
        <f>'ROA X3'!F142</f>
        <v>15117948000000</v>
      </c>
      <c r="F142" s="53">
        <f t="shared" si="0"/>
        <v>9.9712005815868663E-4</v>
      </c>
      <c r="H142" s="18"/>
    </row>
    <row r="143" spans="2:8" ht="14.4" thickBot="1" x14ac:dyDescent="0.3">
      <c r="B143" s="116"/>
      <c r="C143" s="43">
        <v>2019</v>
      </c>
      <c r="D143" s="52">
        <v>13540660583</v>
      </c>
      <c r="E143" s="52">
        <f>'ROA X3'!F143</f>
        <v>20361278000000</v>
      </c>
      <c r="F143" s="53">
        <f t="shared" si="0"/>
        <v>6.6502017127805044E-4</v>
      </c>
      <c r="H143" s="18"/>
    </row>
    <row r="144" spans="2:8" ht="14.4" thickBot="1" x14ac:dyDescent="0.3">
      <c r="B144" s="116"/>
      <c r="C144" s="43">
        <v>2020</v>
      </c>
      <c r="D144" s="52">
        <v>7154686791</v>
      </c>
      <c r="E144" s="52">
        <f>'ROA X3'!F144</f>
        <v>14517700000000</v>
      </c>
      <c r="F144" s="53">
        <f t="shared" si="0"/>
        <v>4.9282508875372823E-4</v>
      </c>
      <c r="H144" s="18"/>
    </row>
    <row r="145" spans="2:8" ht="14.4" thickBot="1" x14ac:dyDescent="0.3">
      <c r="B145" s="116"/>
      <c r="C145" s="43">
        <v>2021</v>
      </c>
      <c r="D145" s="52">
        <v>5295000000</v>
      </c>
      <c r="E145" s="52">
        <f>'ROA X3'!F145</f>
        <v>14690989000000</v>
      </c>
      <c r="F145" s="53">
        <f t="shared" si="0"/>
        <v>3.6042501971786926E-4</v>
      </c>
      <c r="H145" s="18"/>
    </row>
    <row r="146" spans="2:8" ht="14.4" thickBot="1" x14ac:dyDescent="0.3">
      <c r="B146" s="116"/>
      <c r="C146" s="43">
        <v>2022</v>
      </c>
      <c r="D146" s="52">
        <v>4315515140</v>
      </c>
      <c r="E146" s="52">
        <f>'ROA X3'!F146</f>
        <v>13066976000000</v>
      </c>
      <c r="F146" s="53">
        <f t="shared" si="0"/>
        <v>3.3026119738798019E-4</v>
      </c>
      <c r="H146" s="18"/>
    </row>
    <row r="147" spans="2:8" s="38" customFormat="1" ht="14.4" thickBot="1" x14ac:dyDescent="0.3">
      <c r="B147" s="54"/>
      <c r="C147" s="54" t="s">
        <v>219</v>
      </c>
      <c r="D147" s="50">
        <f>SUM(D142:D146)/5</f>
        <v>9076054340.6000004</v>
      </c>
      <c r="E147" s="50">
        <f>SUM(E142:E146)/5</f>
        <v>15550978200000</v>
      </c>
      <c r="F147" s="55">
        <f>SUM(F142:F146)/5</f>
        <v>5.6913030705926294E-4</v>
      </c>
      <c r="H147" s="48"/>
    </row>
    <row r="148" spans="2:8" ht="14.4" thickBot="1" x14ac:dyDescent="0.3">
      <c r="B148" s="115" t="s">
        <v>185</v>
      </c>
      <c r="C148" s="43">
        <v>2018</v>
      </c>
      <c r="D148" s="52">
        <v>4727000000</v>
      </c>
      <c r="E148" s="52">
        <f>'ROA X3'!F148</f>
        <v>15222388589814</v>
      </c>
      <c r="F148" s="53">
        <f t="shared" si="0"/>
        <v>3.1052945285886692E-4</v>
      </c>
      <c r="H148" s="18"/>
    </row>
    <row r="149" spans="2:8" ht="14.4" thickBot="1" x14ac:dyDescent="0.3">
      <c r="B149" s="116"/>
      <c r="C149" s="43">
        <v>2019</v>
      </c>
      <c r="D149" s="52">
        <v>2540367578</v>
      </c>
      <c r="E149" s="52">
        <f>'ROA X3'!F149</f>
        <v>16149121684330</v>
      </c>
      <c r="F149" s="53">
        <f t="shared" si="0"/>
        <v>1.5730685715651015E-4</v>
      </c>
      <c r="H149" s="18"/>
    </row>
    <row r="150" spans="2:8" ht="14.4" thickBot="1" x14ac:dyDescent="0.3">
      <c r="B150" s="116"/>
      <c r="C150" s="43">
        <v>2020</v>
      </c>
      <c r="D150" s="52">
        <v>2125552294</v>
      </c>
      <c r="E150" s="52">
        <f>'ROA X3'!F150</f>
        <v>10557550739243</v>
      </c>
      <c r="F150" s="53">
        <f t="shared" si="0"/>
        <v>2.0133005717881181E-4</v>
      </c>
      <c r="H150" s="18"/>
    </row>
    <row r="151" spans="2:8" ht="14.4" thickBot="1" x14ac:dyDescent="0.3">
      <c r="B151" s="116"/>
      <c r="C151" s="43">
        <v>2021</v>
      </c>
      <c r="D151" s="52">
        <v>1814565196</v>
      </c>
      <c r="E151" s="52">
        <f>'ROA X3'!F151</f>
        <v>6882077282159</v>
      </c>
      <c r="F151" s="53">
        <f t="shared" si="0"/>
        <v>2.6366533266112153E-4</v>
      </c>
      <c r="H151" s="18"/>
    </row>
    <row r="152" spans="2:8" ht="14.4" thickBot="1" x14ac:dyDescent="0.3">
      <c r="B152" s="116"/>
      <c r="C152" s="43">
        <v>2022</v>
      </c>
      <c r="D152" s="52">
        <v>2846411716</v>
      </c>
      <c r="E152" s="52">
        <f>'ROA X3'!F152</f>
        <v>5963657951878</v>
      </c>
      <c r="F152" s="53">
        <f t="shared" si="0"/>
        <v>4.7729291970939478E-4</v>
      </c>
      <c r="H152" s="18"/>
    </row>
    <row r="153" spans="2:8" s="38" customFormat="1" ht="14.4" thickBot="1" x14ac:dyDescent="0.3">
      <c r="B153" s="54"/>
      <c r="C153" s="54" t="s">
        <v>219</v>
      </c>
      <c r="D153" s="50">
        <f>SUM(D148:D152)/5</f>
        <v>2810779356.8000002</v>
      </c>
      <c r="E153" s="50">
        <f>SUM(E148:E152)/5</f>
        <v>10954959249484.801</v>
      </c>
      <c r="F153" s="55">
        <f>SUM(F148:F152)/5</f>
        <v>2.8202492391294108E-4</v>
      </c>
      <c r="H153" s="48"/>
    </row>
    <row r="154" spans="2:8" ht="14.4" thickBot="1" x14ac:dyDescent="0.3">
      <c r="B154" s="115" t="s">
        <v>186</v>
      </c>
      <c r="C154" s="43">
        <v>2018</v>
      </c>
      <c r="D154" s="52">
        <v>1182908261</v>
      </c>
      <c r="E154" s="52">
        <f>'ROA X3'!F154</f>
        <v>8881778299672</v>
      </c>
      <c r="F154" s="53">
        <f t="shared" si="0"/>
        <v>1.3318371851768517E-4</v>
      </c>
      <c r="H154" s="18"/>
    </row>
    <row r="155" spans="2:8" ht="14.4" thickBot="1" x14ac:dyDescent="0.3">
      <c r="B155" s="116"/>
      <c r="C155" s="43">
        <v>2019</v>
      </c>
      <c r="D155" s="52">
        <v>1073840487</v>
      </c>
      <c r="E155" s="52">
        <f>'ROA X3'!F155</f>
        <v>10337895087207</v>
      </c>
      <c r="F155" s="53">
        <f t="shared" si="0"/>
        <v>1.0387419082331978E-4</v>
      </c>
      <c r="H155" s="18"/>
    </row>
    <row r="156" spans="2:8" ht="14.4" thickBot="1" x14ac:dyDescent="0.3">
      <c r="B156" s="116"/>
      <c r="C156" s="43">
        <v>2020</v>
      </c>
      <c r="D156" s="52">
        <v>1284211596</v>
      </c>
      <c r="E156" s="52">
        <f>'ROA X3'!F156</f>
        <v>8509017299594</v>
      </c>
      <c r="F156" s="53">
        <f t="shared" si="0"/>
        <v>1.5092360854187885E-4</v>
      </c>
      <c r="H156" s="18"/>
    </row>
    <row r="157" spans="2:8" ht="14.4" thickBot="1" x14ac:dyDescent="0.3">
      <c r="B157" s="116"/>
      <c r="C157" s="43">
        <v>2021</v>
      </c>
      <c r="D157" s="52">
        <v>3941400041</v>
      </c>
      <c r="E157" s="52">
        <f>'ROA X3'!F157</f>
        <v>9082511044439</v>
      </c>
      <c r="F157" s="53">
        <f t="shared" si="0"/>
        <v>4.3395488557244563E-4</v>
      </c>
      <c r="H157" s="18"/>
    </row>
    <row r="158" spans="2:8" ht="14.4" thickBot="1" x14ac:dyDescent="0.3">
      <c r="B158" s="116"/>
      <c r="C158" s="43">
        <v>2022</v>
      </c>
      <c r="D158" s="52">
        <v>4100320948</v>
      </c>
      <c r="E158" s="52">
        <f>'ROA X3'!F158</f>
        <v>9447528704261</v>
      </c>
      <c r="F158" s="53">
        <f t="shared" si="0"/>
        <v>4.3400989574667118E-4</v>
      </c>
      <c r="H158" s="18"/>
    </row>
    <row r="159" spans="2:8" s="38" customFormat="1" ht="14.4" thickBot="1" x14ac:dyDescent="0.3">
      <c r="B159" s="54"/>
      <c r="C159" s="54" t="s">
        <v>219</v>
      </c>
      <c r="D159" s="50">
        <f>SUM(D154:D158)/5</f>
        <v>2316536266.5999999</v>
      </c>
      <c r="E159" s="50">
        <f>SUM(E154:E158)/5</f>
        <v>9251746087034.5996</v>
      </c>
      <c r="F159" s="55">
        <f>SUM(F154:F158)/5</f>
        <v>2.5118925984040014E-4</v>
      </c>
      <c r="H159" s="48"/>
    </row>
    <row r="160" spans="2:8" ht="13.2" x14ac:dyDescent="0.25">
      <c r="D160" s="16"/>
      <c r="E160" s="16"/>
      <c r="F160" s="17"/>
      <c r="H160" s="18"/>
    </row>
    <row r="161" spans="4:8" ht="13.2" x14ac:dyDescent="0.25">
      <c r="D161" s="16"/>
      <c r="E161" s="16"/>
      <c r="F161" s="17"/>
      <c r="H161" s="18"/>
    </row>
    <row r="162" spans="4:8" ht="13.2" x14ac:dyDescent="0.25">
      <c r="D162" s="16"/>
      <c r="E162" s="16"/>
      <c r="F162" s="17"/>
      <c r="H162" s="18"/>
    </row>
    <row r="163" spans="4:8" ht="13.2" x14ac:dyDescent="0.25">
      <c r="D163" s="16"/>
      <c r="E163" s="16"/>
      <c r="F163" s="17"/>
      <c r="H163" s="18"/>
    </row>
    <row r="164" spans="4:8" ht="13.2" x14ac:dyDescent="0.25">
      <c r="D164" s="16"/>
      <c r="E164" s="16"/>
      <c r="F164" s="17"/>
      <c r="H164" s="18"/>
    </row>
    <row r="165" spans="4:8" ht="13.2" x14ac:dyDescent="0.25">
      <c r="D165" s="16"/>
      <c r="E165" s="16"/>
      <c r="F165" s="17"/>
      <c r="H165" s="18"/>
    </row>
    <row r="166" spans="4:8" ht="13.2" x14ac:dyDescent="0.25">
      <c r="D166" s="16"/>
      <c r="E166" s="16"/>
      <c r="F166" s="17"/>
      <c r="H166" s="18"/>
    </row>
    <row r="167" spans="4:8" ht="13.2" x14ac:dyDescent="0.25">
      <c r="D167" s="16"/>
      <c r="E167" s="16"/>
      <c r="F167" s="17"/>
      <c r="H167" s="18"/>
    </row>
    <row r="168" spans="4:8" ht="13.2" x14ac:dyDescent="0.25">
      <c r="D168" s="16"/>
      <c r="E168" s="16"/>
      <c r="F168" s="17"/>
      <c r="H168" s="18"/>
    </row>
    <row r="169" spans="4:8" ht="13.2" x14ac:dyDescent="0.25">
      <c r="D169" s="16"/>
      <c r="E169" s="16"/>
      <c r="F169" s="17"/>
      <c r="H169" s="18"/>
    </row>
    <row r="170" spans="4:8" ht="13.2" x14ac:dyDescent="0.25">
      <c r="D170" s="16"/>
      <c r="E170" s="16"/>
      <c r="F170" s="17"/>
      <c r="H170" s="18"/>
    </row>
    <row r="171" spans="4:8" ht="13.2" x14ac:dyDescent="0.25">
      <c r="D171" s="16"/>
      <c r="E171" s="16"/>
      <c r="F171" s="17"/>
      <c r="H171" s="18"/>
    </row>
    <row r="172" spans="4:8" ht="13.2" x14ac:dyDescent="0.25">
      <c r="D172" s="16"/>
      <c r="E172" s="16"/>
      <c r="F172" s="17"/>
      <c r="H172" s="18"/>
    </row>
    <row r="173" spans="4:8" ht="13.2" x14ac:dyDescent="0.25">
      <c r="D173" s="16"/>
      <c r="E173" s="16"/>
      <c r="F173" s="17"/>
      <c r="H173" s="18"/>
    </row>
    <row r="174" spans="4:8" ht="13.2" x14ac:dyDescent="0.25">
      <c r="D174" s="16"/>
      <c r="E174" s="16"/>
      <c r="F174" s="17"/>
      <c r="H174" s="18"/>
    </row>
    <row r="175" spans="4:8" ht="13.2" x14ac:dyDescent="0.25">
      <c r="D175" s="16"/>
      <c r="E175" s="16"/>
      <c r="F175" s="17"/>
      <c r="H175" s="18"/>
    </row>
    <row r="176" spans="4:8" ht="13.2" x14ac:dyDescent="0.25">
      <c r="D176" s="16"/>
      <c r="E176" s="16"/>
      <c r="F176" s="17"/>
      <c r="H176" s="18"/>
    </row>
    <row r="177" spans="4:8" ht="13.2" x14ac:dyDescent="0.25">
      <c r="D177" s="16"/>
      <c r="E177" s="16"/>
      <c r="F177" s="17"/>
      <c r="H177" s="18"/>
    </row>
    <row r="178" spans="4:8" ht="13.2" x14ac:dyDescent="0.25">
      <c r="D178" s="16"/>
      <c r="E178" s="16"/>
      <c r="F178" s="17"/>
      <c r="H178" s="18"/>
    </row>
    <row r="179" spans="4:8" ht="13.2" x14ac:dyDescent="0.25">
      <c r="D179" s="16"/>
      <c r="E179" s="16"/>
      <c r="F179" s="17"/>
      <c r="H179" s="18"/>
    </row>
    <row r="180" spans="4:8" ht="13.2" x14ac:dyDescent="0.25">
      <c r="D180" s="16"/>
      <c r="E180" s="16"/>
      <c r="F180" s="17"/>
      <c r="H180" s="18"/>
    </row>
    <row r="181" spans="4:8" ht="13.2" x14ac:dyDescent="0.25">
      <c r="D181" s="16"/>
      <c r="E181" s="16"/>
      <c r="F181" s="17"/>
      <c r="H181" s="18"/>
    </row>
    <row r="182" spans="4:8" ht="13.2" x14ac:dyDescent="0.25">
      <c r="D182" s="16"/>
      <c r="E182" s="16"/>
      <c r="F182" s="17"/>
      <c r="H182" s="18"/>
    </row>
    <row r="183" spans="4:8" ht="13.2" x14ac:dyDescent="0.25">
      <c r="D183" s="16"/>
      <c r="E183" s="16"/>
      <c r="F183" s="17"/>
      <c r="H183" s="18"/>
    </row>
    <row r="184" spans="4:8" ht="13.2" x14ac:dyDescent="0.25">
      <c r="D184" s="16"/>
      <c r="E184" s="16"/>
      <c r="F184" s="17"/>
      <c r="H184" s="18"/>
    </row>
    <row r="185" spans="4:8" ht="13.2" x14ac:dyDescent="0.25">
      <c r="D185" s="16"/>
      <c r="E185" s="16"/>
      <c r="F185" s="17"/>
      <c r="H185" s="18"/>
    </row>
    <row r="186" spans="4:8" ht="13.2" x14ac:dyDescent="0.25">
      <c r="D186" s="16"/>
      <c r="E186" s="16"/>
      <c r="F186" s="17"/>
      <c r="H186" s="18"/>
    </row>
    <row r="187" spans="4:8" ht="13.2" x14ac:dyDescent="0.25">
      <c r="D187" s="16"/>
      <c r="E187" s="16"/>
      <c r="F187" s="17"/>
      <c r="H187" s="18"/>
    </row>
    <row r="188" spans="4:8" ht="13.2" x14ac:dyDescent="0.25">
      <c r="D188" s="16"/>
      <c r="E188" s="16"/>
      <c r="F188" s="17"/>
      <c r="H188" s="18"/>
    </row>
    <row r="189" spans="4:8" ht="13.2" x14ac:dyDescent="0.25">
      <c r="D189" s="16"/>
      <c r="E189" s="16"/>
      <c r="F189" s="17"/>
      <c r="H189" s="18"/>
    </row>
    <row r="190" spans="4:8" ht="13.2" x14ac:dyDescent="0.25">
      <c r="D190" s="16"/>
      <c r="E190" s="16"/>
      <c r="F190" s="17"/>
      <c r="H190" s="18"/>
    </row>
    <row r="191" spans="4:8" ht="13.2" x14ac:dyDescent="0.25">
      <c r="D191" s="16"/>
      <c r="E191" s="16"/>
      <c r="F191" s="17"/>
      <c r="H191" s="18"/>
    </row>
    <row r="192" spans="4:8" ht="13.2" x14ac:dyDescent="0.25">
      <c r="D192" s="16"/>
      <c r="E192" s="16"/>
      <c r="F192" s="17"/>
      <c r="H192" s="18"/>
    </row>
    <row r="193" spans="4:8" ht="13.2" x14ac:dyDescent="0.25">
      <c r="D193" s="16"/>
      <c r="E193" s="16"/>
      <c r="F193" s="17"/>
      <c r="H193" s="18"/>
    </row>
    <row r="194" spans="4:8" ht="13.2" x14ac:dyDescent="0.25">
      <c r="D194" s="16"/>
      <c r="E194" s="16"/>
      <c r="F194" s="17"/>
      <c r="H194" s="18"/>
    </row>
    <row r="195" spans="4:8" ht="13.2" x14ac:dyDescent="0.25">
      <c r="D195" s="16"/>
      <c r="E195" s="16"/>
      <c r="F195" s="17"/>
      <c r="H195" s="18"/>
    </row>
    <row r="196" spans="4:8" ht="13.2" x14ac:dyDescent="0.25">
      <c r="D196" s="16"/>
      <c r="E196" s="16"/>
      <c r="F196" s="17"/>
      <c r="H196" s="18"/>
    </row>
    <row r="197" spans="4:8" ht="13.2" x14ac:dyDescent="0.25">
      <c r="D197" s="16"/>
      <c r="E197" s="16"/>
      <c r="F197" s="17"/>
      <c r="H197" s="18"/>
    </row>
    <row r="198" spans="4:8" ht="13.2" x14ac:dyDescent="0.25">
      <c r="D198" s="16"/>
      <c r="E198" s="16"/>
      <c r="F198" s="17"/>
      <c r="H198" s="18"/>
    </row>
    <row r="199" spans="4:8" ht="13.2" x14ac:dyDescent="0.25">
      <c r="D199" s="16"/>
      <c r="E199" s="16"/>
      <c r="F199" s="17"/>
      <c r="H199" s="18"/>
    </row>
    <row r="200" spans="4:8" ht="13.2" x14ac:dyDescent="0.25">
      <c r="D200" s="16"/>
      <c r="E200" s="16"/>
      <c r="F200" s="17"/>
      <c r="H200" s="18"/>
    </row>
    <row r="201" spans="4:8" ht="13.2" x14ac:dyDescent="0.25">
      <c r="D201" s="16"/>
      <c r="E201" s="16"/>
      <c r="F201" s="17"/>
      <c r="H201" s="18"/>
    </row>
    <row r="202" spans="4:8" ht="13.2" x14ac:dyDescent="0.25">
      <c r="D202" s="16"/>
      <c r="E202" s="16"/>
      <c r="F202" s="17"/>
      <c r="H202" s="18"/>
    </row>
    <row r="203" spans="4:8" ht="13.2" x14ac:dyDescent="0.25">
      <c r="D203" s="16"/>
      <c r="E203" s="16"/>
      <c r="F203" s="17"/>
      <c r="H203" s="18"/>
    </row>
    <row r="204" spans="4:8" ht="13.2" x14ac:dyDescent="0.25">
      <c r="D204" s="16"/>
      <c r="E204" s="16"/>
      <c r="F204" s="17"/>
      <c r="H204" s="18"/>
    </row>
    <row r="205" spans="4:8" ht="13.2" x14ac:dyDescent="0.25">
      <c r="D205" s="16"/>
      <c r="E205" s="16"/>
      <c r="F205" s="17"/>
      <c r="H205" s="18"/>
    </row>
    <row r="206" spans="4:8" ht="13.2" x14ac:dyDescent="0.25">
      <c r="D206" s="16"/>
      <c r="E206" s="16"/>
      <c r="F206" s="17"/>
      <c r="H206" s="18"/>
    </row>
    <row r="207" spans="4:8" ht="13.2" x14ac:dyDescent="0.25">
      <c r="D207" s="16"/>
      <c r="E207" s="16"/>
      <c r="F207" s="17"/>
      <c r="H207" s="18"/>
    </row>
    <row r="208" spans="4:8" ht="13.2" x14ac:dyDescent="0.25">
      <c r="D208" s="16"/>
      <c r="E208" s="16"/>
      <c r="F208" s="17"/>
      <c r="H208" s="18"/>
    </row>
    <row r="209" spans="4:8" ht="13.2" x14ac:dyDescent="0.25">
      <c r="D209" s="16"/>
      <c r="E209" s="16"/>
      <c r="F209" s="17"/>
      <c r="H209" s="18"/>
    </row>
    <row r="210" spans="4:8" ht="13.2" x14ac:dyDescent="0.25">
      <c r="D210" s="16"/>
      <c r="E210" s="16"/>
      <c r="F210" s="17"/>
      <c r="H210" s="18"/>
    </row>
    <row r="211" spans="4:8" ht="13.2" x14ac:dyDescent="0.25">
      <c r="D211" s="16"/>
      <c r="E211" s="16"/>
      <c r="F211" s="17"/>
      <c r="H211" s="18"/>
    </row>
    <row r="212" spans="4:8" ht="13.2" x14ac:dyDescent="0.25">
      <c r="D212" s="16"/>
      <c r="E212" s="16"/>
      <c r="F212" s="17"/>
      <c r="H212" s="18"/>
    </row>
    <row r="213" spans="4:8" ht="13.2" x14ac:dyDescent="0.25">
      <c r="D213" s="16"/>
      <c r="E213" s="16"/>
      <c r="F213" s="17"/>
      <c r="H213" s="18"/>
    </row>
    <row r="214" spans="4:8" ht="13.2" x14ac:dyDescent="0.25">
      <c r="D214" s="16"/>
      <c r="E214" s="16"/>
      <c r="F214" s="17"/>
      <c r="H214" s="18"/>
    </row>
    <row r="215" spans="4:8" ht="13.2" x14ac:dyDescent="0.25">
      <c r="D215" s="16"/>
      <c r="E215" s="16"/>
      <c r="F215" s="17"/>
      <c r="H215" s="18"/>
    </row>
    <row r="216" spans="4:8" ht="13.2" x14ac:dyDescent="0.25">
      <c r="D216" s="16"/>
      <c r="E216" s="16"/>
      <c r="F216" s="17"/>
      <c r="H216" s="18"/>
    </row>
    <row r="217" spans="4:8" ht="13.2" x14ac:dyDescent="0.25">
      <c r="D217" s="16"/>
      <c r="E217" s="16"/>
      <c r="F217" s="17"/>
      <c r="H217" s="18"/>
    </row>
    <row r="218" spans="4:8" ht="13.2" x14ac:dyDescent="0.25">
      <c r="D218" s="16"/>
      <c r="E218" s="16"/>
      <c r="F218" s="17"/>
      <c r="H218" s="18"/>
    </row>
    <row r="219" spans="4:8" ht="13.2" x14ac:dyDescent="0.25">
      <c r="D219" s="16"/>
      <c r="E219" s="16"/>
      <c r="F219" s="17"/>
      <c r="H219" s="18"/>
    </row>
    <row r="220" spans="4:8" ht="13.2" x14ac:dyDescent="0.25">
      <c r="D220" s="16"/>
      <c r="E220" s="16"/>
      <c r="F220" s="17"/>
      <c r="H220" s="18"/>
    </row>
    <row r="221" spans="4:8" ht="13.2" x14ac:dyDescent="0.25">
      <c r="D221" s="16"/>
      <c r="E221" s="16"/>
      <c r="F221" s="17"/>
      <c r="H221" s="18"/>
    </row>
    <row r="222" spans="4:8" ht="13.2" x14ac:dyDescent="0.25">
      <c r="D222" s="16"/>
      <c r="E222" s="16"/>
      <c r="F222" s="17"/>
      <c r="H222" s="18"/>
    </row>
    <row r="223" spans="4:8" ht="13.2" x14ac:dyDescent="0.25">
      <c r="D223" s="16"/>
      <c r="E223" s="16"/>
      <c r="F223" s="17"/>
      <c r="H223" s="18"/>
    </row>
    <row r="224" spans="4:8" ht="13.2" x14ac:dyDescent="0.25">
      <c r="D224" s="16"/>
      <c r="E224" s="16"/>
      <c r="F224" s="17"/>
      <c r="H224" s="18"/>
    </row>
    <row r="225" spans="4:8" ht="13.2" x14ac:dyDescent="0.25">
      <c r="D225" s="16"/>
      <c r="E225" s="16"/>
      <c r="F225" s="17"/>
      <c r="H225" s="18"/>
    </row>
    <row r="226" spans="4:8" ht="13.2" x14ac:dyDescent="0.25">
      <c r="D226" s="16"/>
      <c r="E226" s="16"/>
      <c r="F226" s="17"/>
      <c r="H226" s="18"/>
    </row>
    <row r="227" spans="4:8" ht="13.2" x14ac:dyDescent="0.25">
      <c r="D227" s="16"/>
      <c r="E227" s="16"/>
      <c r="F227" s="17"/>
      <c r="H227" s="18"/>
    </row>
    <row r="228" spans="4:8" ht="13.2" x14ac:dyDescent="0.25">
      <c r="D228" s="16"/>
      <c r="E228" s="16"/>
      <c r="F228" s="17"/>
      <c r="H228" s="18"/>
    </row>
    <row r="229" spans="4:8" ht="13.2" x14ac:dyDescent="0.25">
      <c r="D229" s="16"/>
      <c r="E229" s="16"/>
      <c r="F229" s="17"/>
      <c r="H229" s="18"/>
    </row>
    <row r="230" spans="4:8" ht="13.2" x14ac:dyDescent="0.25">
      <c r="D230" s="16"/>
      <c r="E230" s="16"/>
      <c r="F230" s="17"/>
      <c r="H230" s="18"/>
    </row>
    <row r="231" spans="4:8" ht="13.2" x14ac:dyDescent="0.25">
      <c r="D231" s="16"/>
      <c r="E231" s="16"/>
      <c r="F231" s="17"/>
      <c r="H231" s="18"/>
    </row>
    <row r="232" spans="4:8" ht="13.2" x14ac:dyDescent="0.25">
      <c r="D232" s="16"/>
      <c r="E232" s="16"/>
      <c r="F232" s="17"/>
      <c r="H232" s="18"/>
    </row>
    <row r="233" spans="4:8" ht="13.2" x14ac:dyDescent="0.25">
      <c r="D233" s="16"/>
      <c r="E233" s="16"/>
      <c r="F233" s="17"/>
      <c r="H233" s="18"/>
    </row>
    <row r="234" spans="4:8" ht="13.2" x14ac:dyDescent="0.25">
      <c r="D234" s="16"/>
      <c r="E234" s="16"/>
      <c r="F234" s="17"/>
      <c r="H234" s="18"/>
    </row>
    <row r="235" spans="4:8" ht="13.2" x14ac:dyDescent="0.25">
      <c r="D235" s="16"/>
      <c r="E235" s="16"/>
      <c r="F235" s="17"/>
      <c r="H235" s="18"/>
    </row>
    <row r="236" spans="4:8" ht="13.2" x14ac:dyDescent="0.25">
      <c r="D236" s="16"/>
      <c r="E236" s="16"/>
      <c r="F236" s="17"/>
      <c r="H236" s="18"/>
    </row>
    <row r="237" spans="4:8" ht="13.2" x14ac:dyDescent="0.25">
      <c r="D237" s="16"/>
      <c r="E237" s="16"/>
      <c r="F237" s="17"/>
      <c r="H237" s="18"/>
    </row>
    <row r="238" spans="4:8" ht="13.2" x14ac:dyDescent="0.25">
      <c r="D238" s="16"/>
      <c r="E238" s="16"/>
      <c r="F238" s="17"/>
      <c r="H238" s="18"/>
    </row>
    <row r="239" spans="4:8" ht="13.2" x14ac:dyDescent="0.25">
      <c r="D239" s="16"/>
      <c r="E239" s="16"/>
      <c r="F239" s="17"/>
      <c r="H239" s="18"/>
    </row>
    <row r="240" spans="4:8" ht="13.2" x14ac:dyDescent="0.25">
      <c r="D240" s="16"/>
      <c r="E240" s="16"/>
      <c r="F240" s="17"/>
      <c r="H240" s="18"/>
    </row>
    <row r="241" spans="4:8" ht="13.2" x14ac:dyDescent="0.25">
      <c r="D241" s="16"/>
      <c r="E241" s="16"/>
      <c r="F241" s="17"/>
      <c r="H241" s="18"/>
    </row>
    <row r="242" spans="4:8" ht="13.2" x14ac:dyDescent="0.25">
      <c r="D242" s="16"/>
      <c r="E242" s="16"/>
      <c r="F242" s="17"/>
      <c r="H242" s="18"/>
    </row>
    <row r="243" spans="4:8" ht="13.2" x14ac:dyDescent="0.25">
      <c r="D243" s="16"/>
      <c r="E243" s="16"/>
      <c r="F243" s="17"/>
      <c r="H243" s="18"/>
    </row>
    <row r="244" spans="4:8" ht="13.2" x14ac:dyDescent="0.25">
      <c r="D244" s="16"/>
      <c r="E244" s="16"/>
      <c r="F244" s="17"/>
      <c r="H244" s="18"/>
    </row>
    <row r="245" spans="4:8" ht="13.2" x14ac:dyDescent="0.25">
      <c r="D245" s="16"/>
      <c r="E245" s="16"/>
      <c r="F245" s="17"/>
      <c r="H245" s="18"/>
    </row>
    <row r="246" spans="4:8" ht="13.2" x14ac:dyDescent="0.25">
      <c r="D246" s="16"/>
      <c r="E246" s="16"/>
      <c r="F246" s="17"/>
      <c r="H246" s="18"/>
    </row>
    <row r="247" spans="4:8" ht="13.2" x14ac:dyDescent="0.25">
      <c r="D247" s="16"/>
      <c r="E247" s="16"/>
      <c r="F247" s="17"/>
      <c r="H247" s="18"/>
    </row>
    <row r="248" spans="4:8" ht="13.2" x14ac:dyDescent="0.25">
      <c r="D248" s="16"/>
      <c r="E248" s="16"/>
      <c r="F248" s="17"/>
      <c r="H248" s="18"/>
    </row>
    <row r="249" spans="4:8" ht="13.2" x14ac:dyDescent="0.25">
      <c r="D249" s="16"/>
      <c r="E249" s="16"/>
      <c r="F249" s="17"/>
      <c r="H249" s="18"/>
    </row>
    <row r="250" spans="4:8" ht="13.2" x14ac:dyDescent="0.25">
      <c r="D250" s="16"/>
      <c r="E250" s="16"/>
      <c r="F250" s="17"/>
      <c r="H250" s="18"/>
    </row>
    <row r="251" spans="4:8" ht="13.2" x14ac:dyDescent="0.25">
      <c r="D251" s="16"/>
      <c r="E251" s="16"/>
      <c r="F251" s="17"/>
      <c r="H251" s="18"/>
    </row>
    <row r="252" spans="4:8" ht="13.2" x14ac:dyDescent="0.25">
      <c r="D252" s="16"/>
      <c r="E252" s="16"/>
      <c r="F252" s="17"/>
      <c r="H252" s="18"/>
    </row>
    <row r="253" spans="4:8" ht="13.2" x14ac:dyDescent="0.25">
      <c r="D253" s="16"/>
      <c r="E253" s="16"/>
      <c r="F253" s="17"/>
      <c r="H253" s="18"/>
    </row>
    <row r="254" spans="4:8" ht="13.2" x14ac:dyDescent="0.25">
      <c r="D254" s="16"/>
      <c r="E254" s="16"/>
      <c r="F254" s="17"/>
      <c r="H254" s="18"/>
    </row>
    <row r="255" spans="4:8" ht="13.2" x14ac:dyDescent="0.25">
      <c r="D255" s="16"/>
      <c r="E255" s="16"/>
      <c r="F255" s="17"/>
      <c r="H255" s="18"/>
    </row>
    <row r="256" spans="4:8" ht="13.2" x14ac:dyDescent="0.25">
      <c r="D256" s="16"/>
      <c r="E256" s="16"/>
      <c r="F256" s="17"/>
      <c r="H256" s="18"/>
    </row>
    <row r="257" spans="4:8" ht="13.2" x14ac:dyDescent="0.25">
      <c r="D257" s="16"/>
      <c r="E257" s="16"/>
      <c r="F257" s="17"/>
      <c r="H257" s="18"/>
    </row>
    <row r="258" spans="4:8" ht="13.2" x14ac:dyDescent="0.25">
      <c r="D258" s="16"/>
      <c r="E258" s="16"/>
      <c r="F258" s="17"/>
      <c r="H258" s="18"/>
    </row>
    <row r="259" spans="4:8" ht="13.2" x14ac:dyDescent="0.25">
      <c r="D259" s="16"/>
      <c r="E259" s="16"/>
      <c r="F259" s="17"/>
      <c r="H259" s="18"/>
    </row>
    <row r="260" spans="4:8" ht="13.2" x14ac:dyDescent="0.25">
      <c r="D260" s="16"/>
      <c r="E260" s="16"/>
      <c r="F260" s="17"/>
      <c r="H260" s="18"/>
    </row>
    <row r="261" spans="4:8" ht="13.2" x14ac:dyDescent="0.25">
      <c r="D261" s="16"/>
      <c r="E261" s="16"/>
      <c r="F261" s="17"/>
      <c r="H261" s="18"/>
    </row>
    <row r="262" spans="4:8" ht="13.2" x14ac:dyDescent="0.25">
      <c r="D262" s="16"/>
      <c r="E262" s="16"/>
      <c r="F262" s="17"/>
      <c r="H262" s="18"/>
    </row>
    <row r="263" spans="4:8" ht="13.2" x14ac:dyDescent="0.25">
      <c r="D263" s="16"/>
      <c r="E263" s="16"/>
      <c r="F263" s="17"/>
      <c r="H263" s="18"/>
    </row>
    <row r="264" spans="4:8" ht="13.2" x14ac:dyDescent="0.25">
      <c r="D264" s="16"/>
      <c r="E264" s="16"/>
      <c r="F264" s="17"/>
      <c r="H264" s="18"/>
    </row>
    <row r="265" spans="4:8" ht="13.2" x14ac:dyDescent="0.25">
      <c r="D265" s="16"/>
      <c r="E265" s="16"/>
      <c r="F265" s="17"/>
      <c r="H265" s="18"/>
    </row>
    <row r="266" spans="4:8" ht="13.2" x14ac:dyDescent="0.25">
      <c r="D266" s="16"/>
      <c r="E266" s="16"/>
      <c r="F266" s="17"/>
      <c r="H266" s="18"/>
    </row>
    <row r="267" spans="4:8" ht="13.2" x14ac:dyDescent="0.25">
      <c r="D267" s="16"/>
      <c r="E267" s="16"/>
      <c r="F267" s="17"/>
      <c r="H267" s="18"/>
    </row>
    <row r="268" spans="4:8" ht="13.2" x14ac:dyDescent="0.25">
      <c r="D268" s="16"/>
      <c r="E268" s="16"/>
      <c r="F268" s="17"/>
      <c r="H268" s="18"/>
    </row>
    <row r="269" spans="4:8" ht="13.2" x14ac:dyDescent="0.25">
      <c r="D269" s="16"/>
      <c r="E269" s="16"/>
      <c r="F269" s="17"/>
      <c r="H269" s="18"/>
    </row>
    <row r="270" spans="4:8" ht="13.2" x14ac:dyDescent="0.25">
      <c r="D270" s="16"/>
      <c r="E270" s="16"/>
      <c r="F270" s="17"/>
      <c r="H270" s="18"/>
    </row>
    <row r="271" spans="4:8" ht="13.2" x14ac:dyDescent="0.25">
      <c r="D271" s="16"/>
      <c r="E271" s="16"/>
      <c r="F271" s="17"/>
      <c r="H271" s="18"/>
    </row>
    <row r="272" spans="4:8" ht="13.2" x14ac:dyDescent="0.25">
      <c r="D272" s="16"/>
      <c r="E272" s="16"/>
      <c r="F272" s="17"/>
      <c r="H272" s="18"/>
    </row>
    <row r="273" spans="4:8" ht="13.2" x14ac:dyDescent="0.25">
      <c r="D273" s="16"/>
      <c r="E273" s="16"/>
      <c r="F273" s="17"/>
      <c r="H273" s="18"/>
    </row>
    <row r="274" spans="4:8" ht="13.2" x14ac:dyDescent="0.25">
      <c r="D274" s="16"/>
      <c r="E274" s="16"/>
      <c r="F274" s="17"/>
      <c r="H274" s="18"/>
    </row>
    <row r="275" spans="4:8" ht="13.2" x14ac:dyDescent="0.25">
      <c r="D275" s="16"/>
      <c r="E275" s="16"/>
      <c r="F275" s="17"/>
      <c r="H275" s="18"/>
    </row>
    <row r="276" spans="4:8" ht="13.2" x14ac:dyDescent="0.25">
      <c r="D276" s="16"/>
      <c r="E276" s="16"/>
      <c r="F276" s="17"/>
      <c r="H276" s="18"/>
    </row>
    <row r="277" spans="4:8" ht="13.2" x14ac:dyDescent="0.25">
      <c r="D277" s="16"/>
      <c r="E277" s="16"/>
      <c r="F277" s="17"/>
      <c r="H277" s="18"/>
    </row>
    <row r="278" spans="4:8" ht="13.2" x14ac:dyDescent="0.25">
      <c r="D278" s="16"/>
      <c r="E278" s="16"/>
      <c r="F278" s="17"/>
      <c r="H278" s="18"/>
    </row>
    <row r="279" spans="4:8" ht="13.2" x14ac:dyDescent="0.25">
      <c r="D279" s="16"/>
      <c r="E279" s="16"/>
      <c r="F279" s="17"/>
      <c r="H279" s="18"/>
    </row>
    <row r="280" spans="4:8" ht="13.2" x14ac:dyDescent="0.25">
      <c r="D280" s="16"/>
      <c r="E280" s="16"/>
      <c r="F280" s="17"/>
      <c r="H280" s="18"/>
    </row>
    <row r="281" spans="4:8" ht="13.2" x14ac:dyDescent="0.25">
      <c r="D281" s="16"/>
      <c r="E281" s="16"/>
      <c r="F281" s="17"/>
      <c r="H281" s="18"/>
    </row>
    <row r="282" spans="4:8" ht="13.2" x14ac:dyDescent="0.25">
      <c r="D282" s="16"/>
      <c r="E282" s="16"/>
      <c r="F282" s="17"/>
      <c r="H282" s="18"/>
    </row>
    <row r="283" spans="4:8" ht="13.2" x14ac:dyDescent="0.25">
      <c r="D283" s="16"/>
      <c r="E283" s="16"/>
      <c r="F283" s="17"/>
      <c r="H283" s="18"/>
    </row>
    <row r="284" spans="4:8" ht="13.2" x14ac:dyDescent="0.25">
      <c r="D284" s="16"/>
      <c r="E284" s="16"/>
      <c r="F284" s="17"/>
      <c r="H284" s="18"/>
    </row>
    <row r="285" spans="4:8" ht="13.2" x14ac:dyDescent="0.25">
      <c r="D285" s="16"/>
      <c r="E285" s="16"/>
      <c r="F285" s="17"/>
      <c r="H285" s="18"/>
    </row>
    <row r="286" spans="4:8" ht="13.2" x14ac:dyDescent="0.25">
      <c r="D286" s="16"/>
      <c r="E286" s="16"/>
      <c r="F286" s="17"/>
      <c r="H286" s="18"/>
    </row>
    <row r="287" spans="4:8" ht="13.2" x14ac:dyDescent="0.25">
      <c r="D287" s="16"/>
      <c r="E287" s="16"/>
      <c r="F287" s="17"/>
      <c r="H287" s="18"/>
    </row>
    <row r="288" spans="4:8" ht="13.2" x14ac:dyDescent="0.25">
      <c r="D288" s="16"/>
      <c r="E288" s="16"/>
      <c r="F288" s="17"/>
      <c r="H288" s="18"/>
    </row>
    <row r="289" spans="4:8" ht="13.2" x14ac:dyDescent="0.25">
      <c r="D289" s="16"/>
      <c r="E289" s="16"/>
      <c r="F289" s="17"/>
      <c r="H289" s="18"/>
    </row>
    <row r="290" spans="4:8" ht="13.2" x14ac:dyDescent="0.25">
      <c r="D290" s="16"/>
      <c r="E290" s="16"/>
      <c r="F290" s="17"/>
      <c r="H290" s="18"/>
    </row>
    <row r="291" spans="4:8" ht="13.2" x14ac:dyDescent="0.25">
      <c r="D291" s="16"/>
      <c r="E291" s="16"/>
      <c r="F291" s="17"/>
      <c r="H291" s="18"/>
    </row>
    <row r="292" spans="4:8" ht="13.2" x14ac:dyDescent="0.25">
      <c r="D292" s="16"/>
      <c r="E292" s="16"/>
      <c r="F292" s="17"/>
      <c r="H292" s="18"/>
    </row>
    <row r="293" spans="4:8" ht="13.2" x14ac:dyDescent="0.25">
      <c r="D293" s="16"/>
      <c r="E293" s="16"/>
      <c r="F293" s="17"/>
      <c r="H293" s="18"/>
    </row>
    <row r="294" spans="4:8" ht="13.2" x14ac:dyDescent="0.25">
      <c r="D294" s="16"/>
      <c r="E294" s="16"/>
      <c r="F294" s="17"/>
      <c r="H294" s="18"/>
    </row>
    <row r="295" spans="4:8" ht="13.2" x14ac:dyDescent="0.25">
      <c r="D295" s="16"/>
      <c r="E295" s="16"/>
      <c r="F295" s="17"/>
      <c r="H295" s="18"/>
    </row>
    <row r="296" spans="4:8" ht="13.2" x14ac:dyDescent="0.25">
      <c r="D296" s="16"/>
      <c r="E296" s="16"/>
      <c r="F296" s="17"/>
      <c r="H296" s="18"/>
    </row>
    <row r="297" spans="4:8" ht="13.2" x14ac:dyDescent="0.25">
      <c r="D297" s="16"/>
      <c r="E297" s="16"/>
      <c r="F297" s="17"/>
      <c r="H297" s="18"/>
    </row>
    <row r="298" spans="4:8" ht="13.2" x14ac:dyDescent="0.25">
      <c r="D298" s="16"/>
      <c r="E298" s="16"/>
      <c r="F298" s="17"/>
      <c r="H298" s="18"/>
    </row>
    <row r="299" spans="4:8" ht="13.2" x14ac:dyDescent="0.25">
      <c r="D299" s="16"/>
      <c r="E299" s="16"/>
      <c r="F299" s="17"/>
      <c r="H299" s="18"/>
    </row>
    <row r="300" spans="4:8" ht="13.2" x14ac:dyDescent="0.25">
      <c r="D300" s="16"/>
      <c r="E300" s="16"/>
      <c r="F300" s="17"/>
      <c r="H300" s="18"/>
    </row>
    <row r="301" spans="4:8" ht="13.2" x14ac:dyDescent="0.25">
      <c r="D301" s="16"/>
      <c r="E301" s="16"/>
      <c r="F301" s="17"/>
      <c r="H301" s="18"/>
    </row>
    <row r="302" spans="4:8" ht="13.2" x14ac:dyDescent="0.25">
      <c r="D302" s="16"/>
      <c r="E302" s="16"/>
      <c r="F302" s="17"/>
      <c r="H302" s="18"/>
    </row>
    <row r="303" spans="4:8" ht="13.2" x14ac:dyDescent="0.25">
      <c r="D303" s="16"/>
      <c r="E303" s="16"/>
      <c r="F303" s="17"/>
      <c r="H303" s="18"/>
    </row>
    <row r="304" spans="4:8" ht="13.2" x14ac:dyDescent="0.25">
      <c r="D304" s="16"/>
      <c r="E304" s="16"/>
      <c r="F304" s="17"/>
      <c r="H304" s="18"/>
    </row>
    <row r="305" spans="4:8" ht="13.2" x14ac:dyDescent="0.25">
      <c r="D305" s="16"/>
      <c r="E305" s="16"/>
      <c r="F305" s="17"/>
      <c r="H305" s="18"/>
    </row>
    <row r="306" spans="4:8" ht="13.2" x14ac:dyDescent="0.25">
      <c r="D306" s="16"/>
      <c r="E306" s="16"/>
      <c r="F306" s="17"/>
      <c r="H306" s="18"/>
    </row>
    <row r="307" spans="4:8" ht="13.2" x14ac:dyDescent="0.25">
      <c r="D307" s="16"/>
      <c r="E307" s="16"/>
      <c r="F307" s="17"/>
      <c r="H307" s="18"/>
    </row>
    <row r="308" spans="4:8" ht="13.2" x14ac:dyDescent="0.25">
      <c r="D308" s="16"/>
      <c r="E308" s="16"/>
      <c r="F308" s="17"/>
      <c r="H308" s="18"/>
    </row>
    <row r="309" spans="4:8" ht="13.2" x14ac:dyDescent="0.25">
      <c r="D309" s="16"/>
      <c r="E309" s="16"/>
      <c r="F309" s="17"/>
      <c r="H309" s="18"/>
    </row>
    <row r="310" spans="4:8" ht="13.2" x14ac:dyDescent="0.25">
      <c r="D310" s="16"/>
      <c r="E310" s="16"/>
      <c r="F310" s="17"/>
      <c r="H310" s="18"/>
    </row>
    <row r="311" spans="4:8" ht="13.2" x14ac:dyDescent="0.25">
      <c r="D311" s="16"/>
      <c r="E311" s="16"/>
      <c r="F311" s="17"/>
      <c r="H311" s="18"/>
    </row>
    <row r="312" spans="4:8" ht="13.2" x14ac:dyDescent="0.25">
      <c r="D312" s="16"/>
      <c r="E312" s="16"/>
      <c r="F312" s="17"/>
      <c r="H312" s="18"/>
    </row>
    <row r="313" spans="4:8" ht="13.2" x14ac:dyDescent="0.25">
      <c r="D313" s="16"/>
      <c r="E313" s="16"/>
      <c r="F313" s="17"/>
      <c r="H313" s="18"/>
    </row>
    <row r="314" spans="4:8" ht="13.2" x14ac:dyDescent="0.25">
      <c r="D314" s="16"/>
      <c r="E314" s="16"/>
      <c r="F314" s="17"/>
      <c r="H314" s="18"/>
    </row>
    <row r="315" spans="4:8" ht="13.2" x14ac:dyDescent="0.25">
      <c r="D315" s="16"/>
      <c r="E315" s="16"/>
      <c r="F315" s="17"/>
      <c r="H315" s="18"/>
    </row>
    <row r="316" spans="4:8" ht="13.2" x14ac:dyDescent="0.25">
      <c r="D316" s="16"/>
      <c r="E316" s="16"/>
      <c r="F316" s="17"/>
      <c r="H316" s="18"/>
    </row>
    <row r="317" spans="4:8" ht="13.2" x14ac:dyDescent="0.25">
      <c r="D317" s="16"/>
      <c r="E317" s="16"/>
      <c r="F317" s="17"/>
      <c r="H317" s="18"/>
    </row>
    <row r="318" spans="4:8" ht="13.2" x14ac:dyDescent="0.25">
      <c r="D318" s="16"/>
      <c r="E318" s="16"/>
      <c r="F318" s="17"/>
      <c r="H318" s="18"/>
    </row>
    <row r="319" spans="4:8" ht="13.2" x14ac:dyDescent="0.25">
      <c r="D319" s="16"/>
      <c r="E319" s="16"/>
      <c r="F319" s="17"/>
      <c r="H319" s="18"/>
    </row>
    <row r="320" spans="4:8" ht="13.2" x14ac:dyDescent="0.25">
      <c r="D320" s="16"/>
      <c r="E320" s="16"/>
      <c r="F320" s="17"/>
      <c r="H320" s="18"/>
    </row>
    <row r="321" spans="4:8" ht="13.2" x14ac:dyDescent="0.25">
      <c r="D321" s="16"/>
      <c r="E321" s="16"/>
      <c r="F321" s="17"/>
      <c r="H321" s="18"/>
    </row>
    <row r="322" spans="4:8" ht="13.2" x14ac:dyDescent="0.25">
      <c r="D322" s="16"/>
      <c r="E322" s="16"/>
      <c r="F322" s="17"/>
      <c r="H322" s="18"/>
    </row>
    <row r="323" spans="4:8" ht="13.2" x14ac:dyDescent="0.25">
      <c r="D323" s="16"/>
      <c r="E323" s="16"/>
      <c r="F323" s="17"/>
      <c r="H323" s="18"/>
    </row>
    <row r="324" spans="4:8" ht="13.2" x14ac:dyDescent="0.25">
      <c r="D324" s="16"/>
      <c r="E324" s="16"/>
      <c r="F324" s="17"/>
      <c r="H324" s="18"/>
    </row>
    <row r="325" spans="4:8" ht="13.2" x14ac:dyDescent="0.25">
      <c r="D325" s="16"/>
      <c r="E325" s="16"/>
      <c r="F325" s="17"/>
      <c r="H325" s="18"/>
    </row>
    <row r="326" spans="4:8" ht="13.2" x14ac:dyDescent="0.25">
      <c r="D326" s="16"/>
      <c r="E326" s="16"/>
      <c r="F326" s="17"/>
      <c r="H326" s="18"/>
    </row>
    <row r="327" spans="4:8" ht="13.2" x14ac:dyDescent="0.25">
      <c r="D327" s="16"/>
      <c r="E327" s="16"/>
      <c r="F327" s="17"/>
      <c r="H327" s="18"/>
    </row>
    <row r="328" spans="4:8" ht="13.2" x14ac:dyDescent="0.25">
      <c r="D328" s="16"/>
      <c r="E328" s="16"/>
      <c r="F328" s="17"/>
      <c r="H328" s="18"/>
    </row>
    <row r="329" spans="4:8" ht="13.2" x14ac:dyDescent="0.25">
      <c r="D329" s="16"/>
      <c r="E329" s="16"/>
      <c r="F329" s="17"/>
      <c r="H329" s="18"/>
    </row>
    <row r="330" spans="4:8" ht="13.2" x14ac:dyDescent="0.25">
      <c r="D330" s="16"/>
      <c r="E330" s="16"/>
      <c r="F330" s="17"/>
      <c r="H330" s="18"/>
    </row>
    <row r="331" spans="4:8" ht="13.2" x14ac:dyDescent="0.25">
      <c r="D331" s="16"/>
      <c r="E331" s="16"/>
      <c r="F331" s="17"/>
      <c r="H331" s="18"/>
    </row>
    <row r="332" spans="4:8" ht="13.2" x14ac:dyDescent="0.25">
      <c r="D332" s="16"/>
      <c r="E332" s="16"/>
      <c r="F332" s="17"/>
      <c r="H332" s="18"/>
    </row>
    <row r="333" spans="4:8" ht="13.2" x14ac:dyDescent="0.25">
      <c r="D333" s="16"/>
      <c r="E333" s="16"/>
      <c r="F333" s="17"/>
      <c r="H333" s="18"/>
    </row>
    <row r="334" spans="4:8" ht="13.2" x14ac:dyDescent="0.25">
      <c r="D334" s="16"/>
      <c r="E334" s="16"/>
      <c r="F334" s="17"/>
      <c r="H334" s="18"/>
    </row>
    <row r="335" spans="4:8" ht="13.2" x14ac:dyDescent="0.25">
      <c r="D335" s="16"/>
      <c r="E335" s="16"/>
      <c r="F335" s="17"/>
      <c r="H335" s="18"/>
    </row>
    <row r="336" spans="4:8" ht="13.2" x14ac:dyDescent="0.25">
      <c r="D336" s="16"/>
      <c r="E336" s="16"/>
      <c r="F336" s="17"/>
      <c r="H336" s="18"/>
    </row>
    <row r="337" spans="4:8" ht="13.2" x14ac:dyDescent="0.25">
      <c r="D337" s="16"/>
      <c r="E337" s="16"/>
      <c r="F337" s="17"/>
      <c r="H337" s="18"/>
    </row>
    <row r="338" spans="4:8" ht="13.2" x14ac:dyDescent="0.25">
      <c r="D338" s="16"/>
      <c r="E338" s="16"/>
      <c r="F338" s="17"/>
      <c r="H338" s="18"/>
    </row>
    <row r="339" spans="4:8" ht="13.2" x14ac:dyDescent="0.25">
      <c r="D339" s="16"/>
      <c r="E339" s="16"/>
      <c r="F339" s="17"/>
      <c r="H339" s="18"/>
    </row>
    <row r="340" spans="4:8" ht="13.2" x14ac:dyDescent="0.25">
      <c r="D340" s="16"/>
      <c r="E340" s="16"/>
      <c r="F340" s="17"/>
      <c r="H340" s="18"/>
    </row>
    <row r="341" spans="4:8" ht="13.2" x14ac:dyDescent="0.25">
      <c r="D341" s="16"/>
      <c r="E341" s="16"/>
      <c r="F341" s="17"/>
      <c r="H341" s="18"/>
    </row>
    <row r="342" spans="4:8" ht="13.2" x14ac:dyDescent="0.25">
      <c r="D342" s="16"/>
      <c r="E342" s="16"/>
      <c r="F342" s="17"/>
      <c r="H342" s="18"/>
    </row>
    <row r="343" spans="4:8" ht="13.2" x14ac:dyDescent="0.25">
      <c r="D343" s="16"/>
      <c r="E343" s="16"/>
      <c r="F343" s="17"/>
      <c r="H343" s="18"/>
    </row>
    <row r="344" spans="4:8" ht="13.2" x14ac:dyDescent="0.25">
      <c r="D344" s="16"/>
      <c r="E344" s="16"/>
      <c r="F344" s="17"/>
      <c r="H344" s="18"/>
    </row>
    <row r="345" spans="4:8" ht="13.2" x14ac:dyDescent="0.25">
      <c r="D345" s="16"/>
      <c r="E345" s="16"/>
      <c r="F345" s="17"/>
      <c r="H345" s="18"/>
    </row>
    <row r="346" spans="4:8" ht="13.2" x14ac:dyDescent="0.25">
      <c r="D346" s="16"/>
      <c r="E346" s="16"/>
      <c r="F346" s="17"/>
      <c r="H346" s="18"/>
    </row>
    <row r="347" spans="4:8" ht="13.2" x14ac:dyDescent="0.25">
      <c r="D347" s="16"/>
      <c r="E347" s="16"/>
      <c r="F347" s="17"/>
      <c r="H347" s="18"/>
    </row>
    <row r="348" spans="4:8" ht="13.2" x14ac:dyDescent="0.25">
      <c r="D348" s="16"/>
      <c r="E348" s="16"/>
      <c r="F348" s="17"/>
      <c r="H348" s="18"/>
    </row>
    <row r="349" spans="4:8" ht="13.2" x14ac:dyDescent="0.25">
      <c r="D349" s="16"/>
      <c r="E349" s="16"/>
      <c r="F349" s="17"/>
      <c r="H349" s="18"/>
    </row>
    <row r="350" spans="4:8" ht="13.2" x14ac:dyDescent="0.25">
      <c r="D350" s="16"/>
      <c r="E350" s="16"/>
      <c r="F350" s="17"/>
      <c r="H350" s="18"/>
    </row>
    <row r="351" spans="4:8" ht="13.2" x14ac:dyDescent="0.25">
      <c r="D351" s="16"/>
      <c r="E351" s="16"/>
      <c r="F351" s="17"/>
      <c r="H351" s="18"/>
    </row>
    <row r="352" spans="4:8" ht="13.2" x14ac:dyDescent="0.25">
      <c r="D352" s="16"/>
      <c r="E352" s="16"/>
      <c r="F352" s="17"/>
      <c r="H352" s="18"/>
    </row>
    <row r="353" spans="4:8" ht="13.2" x14ac:dyDescent="0.25">
      <c r="D353" s="16"/>
      <c r="E353" s="16"/>
      <c r="F353" s="17"/>
      <c r="H353" s="18"/>
    </row>
    <row r="354" spans="4:8" ht="13.2" x14ac:dyDescent="0.25">
      <c r="D354" s="16"/>
      <c r="E354" s="16"/>
      <c r="F354" s="17"/>
      <c r="H354" s="18"/>
    </row>
    <row r="355" spans="4:8" ht="13.2" x14ac:dyDescent="0.25">
      <c r="D355" s="16"/>
      <c r="E355" s="16"/>
      <c r="F355" s="17"/>
      <c r="H355" s="18"/>
    </row>
    <row r="356" spans="4:8" ht="13.2" x14ac:dyDescent="0.25">
      <c r="D356" s="16"/>
      <c r="E356" s="16"/>
      <c r="F356" s="17"/>
      <c r="H356" s="18"/>
    </row>
    <row r="357" spans="4:8" ht="13.2" x14ac:dyDescent="0.25">
      <c r="D357" s="16"/>
      <c r="E357" s="16"/>
      <c r="F357" s="17"/>
      <c r="H357" s="18"/>
    </row>
    <row r="358" spans="4:8" ht="13.2" x14ac:dyDescent="0.25">
      <c r="D358" s="16"/>
      <c r="E358" s="16"/>
      <c r="F358" s="17"/>
      <c r="H358" s="18"/>
    </row>
    <row r="359" spans="4:8" ht="13.2" x14ac:dyDescent="0.25">
      <c r="D359" s="16"/>
      <c r="E359" s="16"/>
      <c r="F359" s="17"/>
      <c r="H359" s="18"/>
    </row>
    <row r="360" spans="4:8" ht="13.2" x14ac:dyDescent="0.25">
      <c r="D360" s="16"/>
      <c r="E360" s="16"/>
      <c r="F360" s="17"/>
      <c r="H360" s="18"/>
    </row>
    <row r="361" spans="4:8" ht="13.2" x14ac:dyDescent="0.25">
      <c r="D361" s="16"/>
      <c r="E361" s="16"/>
      <c r="F361" s="17"/>
      <c r="H361" s="18"/>
    </row>
    <row r="362" spans="4:8" ht="13.2" x14ac:dyDescent="0.25">
      <c r="D362" s="16"/>
      <c r="E362" s="16"/>
      <c r="F362" s="17"/>
      <c r="H362" s="18"/>
    </row>
    <row r="363" spans="4:8" ht="13.2" x14ac:dyDescent="0.25">
      <c r="D363" s="16"/>
      <c r="E363" s="16"/>
      <c r="F363" s="17"/>
      <c r="H363" s="18"/>
    </row>
    <row r="364" spans="4:8" ht="13.2" x14ac:dyDescent="0.25">
      <c r="D364" s="16"/>
      <c r="E364" s="16"/>
      <c r="F364" s="17"/>
      <c r="H364" s="18"/>
    </row>
    <row r="365" spans="4:8" ht="13.2" x14ac:dyDescent="0.25">
      <c r="D365" s="16"/>
      <c r="E365" s="16"/>
      <c r="F365" s="17"/>
      <c r="H365" s="18"/>
    </row>
    <row r="366" spans="4:8" ht="13.2" x14ac:dyDescent="0.25">
      <c r="D366" s="16"/>
      <c r="E366" s="16"/>
      <c r="F366" s="17"/>
      <c r="H366" s="18"/>
    </row>
    <row r="367" spans="4:8" ht="13.2" x14ac:dyDescent="0.25">
      <c r="D367" s="16"/>
      <c r="E367" s="16"/>
      <c r="F367" s="17"/>
      <c r="H367" s="18"/>
    </row>
    <row r="368" spans="4:8" ht="13.2" x14ac:dyDescent="0.25">
      <c r="D368" s="16"/>
      <c r="E368" s="16"/>
      <c r="F368" s="17"/>
      <c r="H368" s="18"/>
    </row>
    <row r="369" spans="4:8" ht="13.2" x14ac:dyDescent="0.25">
      <c r="D369" s="16"/>
      <c r="E369" s="16"/>
      <c r="F369" s="17"/>
      <c r="H369" s="18"/>
    </row>
    <row r="370" spans="4:8" ht="13.2" x14ac:dyDescent="0.25">
      <c r="D370" s="16"/>
      <c r="E370" s="16"/>
      <c r="F370" s="17"/>
      <c r="H370" s="18"/>
    </row>
    <row r="371" spans="4:8" ht="13.2" x14ac:dyDescent="0.25">
      <c r="D371" s="16"/>
      <c r="E371" s="16"/>
      <c r="F371" s="17"/>
      <c r="H371" s="18"/>
    </row>
    <row r="372" spans="4:8" ht="13.2" x14ac:dyDescent="0.25">
      <c r="D372" s="16"/>
      <c r="E372" s="16"/>
      <c r="F372" s="17"/>
      <c r="H372" s="18"/>
    </row>
    <row r="373" spans="4:8" ht="13.2" x14ac:dyDescent="0.25">
      <c r="D373" s="16"/>
      <c r="E373" s="16"/>
      <c r="F373" s="17"/>
      <c r="H373" s="18"/>
    </row>
    <row r="374" spans="4:8" ht="13.2" x14ac:dyDescent="0.25">
      <c r="D374" s="16"/>
      <c r="E374" s="16"/>
      <c r="F374" s="17"/>
      <c r="H374" s="18"/>
    </row>
    <row r="375" spans="4:8" ht="13.2" x14ac:dyDescent="0.25">
      <c r="D375" s="16"/>
      <c r="E375" s="16"/>
      <c r="F375" s="17"/>
      <c r="H375" s="18"/>
    </row>
    <row r="376" spans="4:8" ht="13.2" x14ac:dyDescent="0.25">
      <c r="D376" s="16"/>
      <c r="E376" s="16"/>
      <c r="F376" s="17"/>
      <c r="H376" s="18"/>
    </row>
    <row r="377" spans="4:8" ht="13.2" x14ac:dyDescent="0.25">
      <c r="D377" s="16"/>
      <c r="E377" s="16"/>
      <c r="F377" s="17"/>
      <c r="H377" s="18"/>
    </row>
    <row r="378" spans="4:8" ht="13.2" x14ac:dyDescent="0.25">
      <c r="D378" s="16"/>
      <c r="E378" s="16"/>
      <c r="F378" s="17"/>
      <c r="H378" s="18"/>
    </row>
    <row r="379" spans="4:8" ht="13.2" x14ac:dyDescent="0.25">
      <c r="D379" s="16"/>
      <c r="E379" s="16"/>
      <c r="F379" s="17"/>
      <c r="H379" s="18"/>
    </row>
    <row r="380" spans="4:8" ht="13.2" x14ac:dyDescent="0.25">
      <c r="D380" s="16"/>
      <c r="E380" s="16"/>
      <c r="F380" s="17"/>
      <c r="H380" s="18"/>
    </row>
    <row r="381" spans="4:8" ht="13.2" x14ac:dyDescent="0.25">
      <c r="D381" s="16"/>
      <c r="E381" s="16"/>
      <c r="F381" s="17"/>
      <c r="H381" s="18"/>
    </row>
    <row r="382" spans="4:8" ht="13.2" x14ac:dyDescent="0.25">
      <c r="D382" s="16"/>
      <c r="E382" s="16"/>
      <c r="F382" s="17"/>
      <c r="H382" s="18"/>
    </row>
    <row r="383" spans="4:8" ht="13.2" x14ac:dyDescent="0.25">
      <c r="D383" s="16"/>
      <c r="E383" s="16"/>
      <c r="F383" s="17"/>
      <c r="H383" s="18"/>
    </row>
    <row r="384" spans="4:8" ht="13.2" x14ac:dyDescent="0.25">
      <c r="D384" s="16"/>
      <c r="E384" s="16"/>
      <c r="F384" s="17"/>
      <c r="H384" s="18"/>
    </row>
    <row r="385" spans="4:8" ht="13.2" x14ac:dyDescent="0.25">
      <c r="D385" s="16"/>
      <c r="E385" s="16"/>
      <c r="F385" s="17"/>
      <c r="H385" s="18"/>
    </row>
    <row r="386" spans="4:8" ht="13.2" x14ac:dyDescent="0.25">
      <c r="D386" s="16"/>
      <c r="E386" s="16"/>
      <c r="F386" s="17"/>
      <c r="H386" s="18"/>
    </row>
    <row r="387" spans="4:8" ht="13.2" x14ac:dyDescent="0.25">
      <c r="D387" s="16"/>
      <c r="E387" s="16"/>
      <c r="F387" s="17"/>
      <c r="H387" s="18"/>
    </row>
    <row r="388" spans="4:8" ht="13.2" x14ac:dyDescent="0.25">
      <c r="D388" s="16"/>
      <c r="E388" s="16"/>
      <c r="F388" s="17"/>
      <c r="H388" s="18"/>
    </row>
    <row r="389" spans="4:8" ht="13.2" x14ac:dyDescent="0.25">
      <c r="D389" s="16"/>
      <c r="E389" s="16"/>
      <c r="F389" s="17"/>
      <c r="H389" s="18"/>
    </row>
    <row r="390" spans="4:8" ht="13.2" x14ac:dyDescent="0.25">
      <c r="D390" s="16"/>
      <c r="E390" s="16"/>
      <c r="F390" s="17"/>
      <c r="H390" s="18"/>
    </row>
    <row r="391" spans="4:8" ht="13.2" x14ac:dyDescent="0.25">
      <c r="D391" s="16"/>
      <c r="E391" s="16"/>
      <c r="F391" s="17"/>
      <c r="H391" s="18"/>
    </row>
    <row r="392" spans="4:8" ht="13.2" x14ac:dyDescent="0.25">
      <c r="D392" s="16"/>
      <c r="E392" s="16"/>
      <c r="F392" s="17"/>
      <c r="H392" s="18"/>
    </row>
    <row r="393" spans="4:8" ht="13.2" x14ac:dyDescent="0.25">
      <c r="D393" s="16"/>
      <c r="E393" s="16"/>
      <c r="F393" s="17"/>
      <c r="H393" s="18"/>
    </row>
    <row r="394" spans="4:8" ht="13.2" x14ac:dyDescent="0.25">
      <c r="D394" s="16"/>
      <c r="E394" s="16"/>
      <c r="F394" s="17"/>
      <c r="H394" s="18"/>
    </row>
    <row r="395" spans="4:8" ht="13.2" x14ac:dyDescent="0.25">
      <c r="D395" s="16"/>
      <c r="E395" s="16"/>
      <c r="F395" s="17"/>
      <c r="H395" s="18"/>
    </row>
    <row r="396" spans="4:8" ht="13.2" x14ac:dyDescent="0.25">
      <c r="D396" s="16"/>
      <c r="E396" s="16"/>
      <c r="F396" s="17"/>
      <c r="H396" s="18"/>
    </row>
    <row r="397" spans="4:8" ht="13.2" x14ac:dyDescent="0.25">
      <c r="D397" s="16"/>
      <c r="E397" s="16"/>
      <c r="F397" s="17"/>
      <c r="H397" s="18"/>
    </row>
    <row r="398" spans="4:8" ht="13.2" x14ac:dyDescent="0.25">
      <c r="D398" s="16"/>
      <c r="E398" s="16"/>
      <c r="F398" s="17"/>
      <c r="H398" s="18"/>
    </row>
    <row r="399" spans="4:8" ht="13.2" x14ac:dyDescent="0.25">
      <c r="D399" s="16"/>
      <c r="E399" s="16"/>
      <c r="F399" s="17"/>
      <c r="H399" s="18"/>
    </row>
    <row r="400" spans="4:8" ht="13.2" x14ac:dyDescent="0.25">
      <c r="D400" s="16"/>
      <c r="E400" s="16"/>
      <c r="F400" s="17"/>
      <c r="H400" s="18"/>
    </row>
    <row r="401" spans="4:8" ht="13.2" x14ac:dyDescent="0.25">
      <c r="D401" s="16"/>
      <c r="E401" s="16"/>
      <c r="F401" s="17"/>
      <c r="H401" s="18"/>
    </row>
    <row r="402" spans="4:8" ht="13.2" x14ac:dyDescent="0.25">
      <c r="D402" s="16"/>
      <c r="E402" s="16"/>
      <c r="F402" s="17"/>
      <c r="H402" s="18"/>
    </row>
    <row r="403" spans="4:8" ht="13.2" x14ac:dyDescent="0.25">
      <c r="D403" s="16"/>
      <c r="E403" s="16"/>
      <c r="F403" s="17"/>
      <c r="H403" s="18"/>
    </row>
    <row r="404" spans="4:8" ht="13.2" x14ac:dyDescent="0.25">
      <c r="D404" s="16"/>
      <c r="E404" s="16"/>
      <c r="F404" s="17"/>
      <c r="H404" s="18"/>
    </row>
    <row r="405" spans="4:8" ht="13.2" x14ac:dyDescent="0.25">
      <c r="D405" s="16"/>
      <c r="E405" s="16"/>
      <c r="F405" s="17"/>
      <c r="H405" s="18"/>
    </row>
    <row r="406" spans="4:8" ht="13.2" x14ac:dyDescent="0.25">
      <c r="D406" s="16"/>
      <c r="E406" s="16"/>
      <c r="F406" s="17"/>
      <c r="H406" s="18"/>
    </row>
    <row r="407" spans="4:8" ht="13.2" x14ac:dyDescent="0.25">
      <c r="D407" s="16"/>
      <c r="E407" s="16"/>
      <c r="F407" s="17"/>
      <c r="H407" s="18"/>
    </row>
    <row r="408" spans="4:8" ht="13.2" x14ac:dyDescent="0.25">
      <c r="D408" s="16"/>
      <c r="E408" s="16"/>
      <c r="F408" s="17"/>
      <c r="H408" s="18"/>
    </row>
    <row r="409" spans="4:8" ht="13.2" x14ac:dyDescent="0.25">
      <c r="D409" s="16"/>
      <c r="E409" s="16"/>
      <c r="F409" s="17"/>
      <c r="H409" s="18"/>
    </row>
    <row r="410" spans="4:8" ht="13.2" x14ac:dyDescent="0.25">
      <c r="D410" s="16"/>
      <c r="E410" s="16"/>
      <c r="F410" s="17"/>
      <c r="H410" s="18"/>
    </row>
    <row r="411" spans="4:8" ht="13.2" x14ac:dyDescent="0.25">
      <c r="D411" s="16"/>
      <c r="E411" s="16"/>
      <c r="F411" s="17"/>
      <c r="H411" s="18"/>
    </row>
    <row r="412" spans="4:8" ht="13.2" x14ac:dyDescent="0.25">
      <c r="D412" s="16"/>
      <c r="E412" s="16"/>
      <c r="F412" s="17"/>
      <c r="H412" s="18"/>
    </row>
    <row r="413" spans="4:8" ht="13.2" x14ac:dyDescent="0.25">
      <c r="D413" s="16"/>
      <c r="E413" s="16"/>
      <c r="F413" s="17"/>
      <c r="H413" s="18"/>
    </row>
    <row r="414" spans="4:8" ht="13.2" x14ac:dyDescent="0.25">
      <c r="D414" s="16"/>
      <c r="E414" s="16"/>
      <c r="F414" s="17"/>
      <c r="H414" s="18"/>
    </row>
    <row r="415" spans="4:8" ht="13.2" x14ac:dyDescent="0.25">
      <c r="D415" s="16"/>
      <c r="E415" s="16"/>
      <c r="F415" s="17"/>
      <c r="H415" s="18"/>
    </row>
    <row r="416" spans="4:8" ht="13.2" x14ac:dyDescent="0.25">
      <c r="D416" s="16"/>
      <c r="E416" s="16"/>
      <c r="F416" s="17"/>
      <c r="H416" s="18"/>
    </row>
    <row r="417" spans="4:8" ht="13.2" x14ac:dyDescent="0.25">
      <c r="D417" s="16"/>
      <c r="E417" s="16"/>
      <c r="F417" s="17"/>
      <c r="H417" s="18"/>
    </row>
    <row r="418" spans="4:8" ht="13.2" x14ac:dyDescent="0.25">
      <c r="D418" s="16"/>
      <c r="E418" s="16"/>
      <c r="F418" s="17"/>
      <c r="H418" s="18"/>
    </row>
    <row r="419" spans="4:8" ht="13.2" x14ac:dyDescent="0.25">
      <c r="D419" s="16"/>
      <c r="E419" s="16"/>
      <c r="F419" s="17"/>
      <c r="H419" s="18"/>
    </row>
    <row r="420" spans="4:8" ht="13.2" x14ac:dyDescent="0.25">
      <c r="D420" s="16"/>
      <c r="E420" s="16"/>
      <c r="F420" s="17"/>
      <c r="H420" s="18"/>
    </row>
    <row r="421" spans="4:8" ht="13.2" x14ac:dyDescent="0.25">
      <c r="D421" s="16"/>
      <c r="E421" s="16"/>
      <c r="F421" s="17"/>
      <c r="H421" s="18"/>
    </row>
    <row r="422" spans="4:8" ht="13.2" x14ac:dyDescent="0.25">
      <c r="D422" s="16"/>
      <c r="E422" s="16"/>
      <c r="F422" s="17"/>
      <c r="H422" s="18"/>
    </row>
    <row r="423" spans="4:8" ht="13.2" x14ac:dyDescent="0.25">
      <c r="D423" s="16"/>
      <c r="E423" s="16"/>
      <c r="F423" s="17"/>
      <c r="H423" s="18"/>
    </row>
    <row r="424" spans="4:8" ht="13.2" x14ac:dyDescent="0.25">
      <c r="D424" s="16"/>
      <c r="E424" s="16"/>
      <c r="F424" s="17"/>
      <c r="H424" s="18"/>
    </row>
    <row r="425" spans="4:8" ht="13.2" x14ac:dyDescent="0.25">
      <c r="D425" s="16"/>
      <c r="E425" s="16"/>
      <c r="F425" s="17"/>
      <c r="H425" s="18"/>
    </row>
    <row r="426" spans="4:8" ht="13.2" x14ac:dyDescent="0.25">
      <c r="D426" s="16"/>
      <c r="E426" s="16"/>
      <c r="F426" s="17"/>
      <c r="H426" s="18"/>
    </row>
    <row r="427" spans="4:8" ht="13.2" x14ac:dyDescent="0.25">
      <c r="D427" s="16"/>
      <c r="E427" s="16"/>
      <c r="F427" s="17"/>
      <c r="H427" s="18"/>
    </row>
    <row r="428" spans="4:8" ht="13.2" x14ac:dyDescent="0.25">
      <c r="D428" s="16"/>
      <c r="E428" s="16"/>
      <c r="F428" s="17"/>
      <c r="H428" s="18"/>
    </row>
    <row r="429" spans="4:8" ht="13.2" x14ac:dyDescent="0.25">
      <c r="D429" s="16"/>
      <c r="E429" s="16"/>
      <c r="F429" s="17"/>
      <c r="H429" s="18"/>
    </row>
    <row r="430" spans="4:8" ht="13.2" x14ac:dyDescent="0.25">
      <c r="D430" s="16"/>
      <c r="E430" s="16"/>
      <c r="F430" s="17"/>
      <c r="H430" s="18"/>
    </row>
    <row r="431" spans="4:8" ht="13.2" x14ac:dyDescent="0.25">
      <c r="D431" s="16"/>
      <c r="E431" s="16"/>
      <c r="F431" s="17"/>
      <c r="H431" s="18"/>
    </row>
    <row r="432" spans="4:8" ht="13.2" x14ac:dyDescent="0.25">
      <c r="D432" s="16"/>
      <c r="E432" s="16"/>
      <c r="F432" s="17"/>
      <c r="H432" s="18"/>
    </row>
    <row r="433" spans="4:8" ht="13.2" x14ac:dyDescent="0.25">
      <c r="D433" s="16"/>
      <c r="E433" s="16"/>
      <c r="F433" s="17"/>
      <c r="H433" s="18"/>
    </row>
    <row r="434" spans="4:8" ht="13.2" x14ac:dyDescent="0.25">
      <c r="D434" s="16"/>
      <c r="E434" s="16"/>
      <c r="F434" s="17"/>
      <c r="H434" s="18"/>
    </row>
    <row r="435" spans="4:8" ht="13.2" x14ac:dyDescent="0.25">
      <c r="D435" s="16"/>
      <c r="E435" s="16"/>
      <c r="F435" s="17"/>
      <c r="H435" s="18"/>
    </row>
    <row r="436" spans="4:8" ht="13.2" x14ac:dyDescent="0.25">
      <c r="D436" s="16"/>
      <c r="E436" s="16"/>
      <c r="F436" s="17"/>
      <c r="H436" s="18"/>
    </row>
    <row r="437" spans="4:8" ht="13.2" x14ac:dyDescent="0.25">
      <c r="D437" s="16"/>
      <c r="E437" s="16"/>
      <c r="F437" s="17"/>
      <c r="H437" s="18"/>
    </row>
    <row r="438" spans="4:8" ht="13.2" x14ac:dyDescent="0.25">
      <c r="D438" s="16"/>
      <c r="E438" s="16"/>
      <c r="F438" s="17"/>
      <c r="H438" s="18"/>
    </row>
    <row r="439" spans="4:8" ht="13.2" x14ac:dyDescent="0.25">
      <c r="D439" s="16"/>
      <c r="E439" s="16"/>
      <c r="F439" s="17"/>
      <c r="H439" s="18"/>
    </row>
    <row r="440" spans="4:8" ht="13.2" x14ac:dyDescent="0.25">
      <c r="D440" s="16"/>
      <c r="E440" s="16"/>
      <c r="F440" s="17"/>
      <c r="H440" s="18"/>
    </row>
    <row r="441" spans="4:8" ht="13.2" x14ac:dyDescent="0.25">
      <c r="D441" s="16"/>
      <c r="E441" s="16"/>
      <c r="F441" s="17"/>
      <c r="H441" s="18"/>
    </row>
    <row r="442" spans="4:8" ht="13.2" x14ac:dyDescent="0.25">
      <c r="D442" s="16"/>
      <c r="E442" s="16"/>
      <c r="F442" s="17"/>
      <c r="H442" s="18"/>
    </row>
    <row r="443" spans="4:8" ht="13.2" x14ac:dyDescent="0.25">
      <c r="D443" s="16"/>
      <c r="E443" s="16"/>
      <c r="F443" s="17"/>
      <c r="H443" s="18"/>
    </row>
    <row r="444" spans="4:8" ht="13.2" x14ac:dyDescent="0.25">
      <c r="D444" s="16"/>
      <c r="E444" s="16"/>
      <c r="F444" s="17"/>
      <c r="H444" s="18"/>
    </row>
    <row r="445" spans="4:8" ht="13.2" x14ac:dyDescent="0.25">
      <c r="D445" s="16"/>
      <c r="E445" s="16"/>
      <c r="F445" s="17"/>
      <c r="H445" s="18"/>
    </row>
    <row r="446" spans="4:8" ht="13.2" x14ac:dyDescent="0.25">
      <c r="D446" s="16"/>
      <c r="E446" s="16"/>
      <c r="F446" s="17"/>
      <c r="H446" s="18"/>
    </row>
    <row r="447" spans="4:8" ht="13.2" x14ac:dyDescent="0.25">
      <c r="D447" s="16"/>
      <c r="E447" s="16"/>
      <c r="F447" s="17"/>
      <c r="H447" s="18"/>
    </row>
    <row r="448" spans="4:8" ht="13.2" x14ac:dyDescent="0.25">
      <c r="D448" s="16"/>
      <c r="E448" s="16"/>
      <c r="F448" s="17"/>
      <c r="H448" s="18"/>
    </row>
    <row r="449" spans="4:8" ht="13.2" x14ac:dyDescent="0.25">
      <c r="D449" s="16"/>
      <c r="E449" s="16"/>
      <c r="F449" s="17"/>
      <c r="H449" s="18"/>
    </row>
    <row r="450" spans="4:8" ht="13.2" x14ac:dyDescent="0.25">
      <c r="D450" s="16"/>
      <c r="E450" s="16"/>
      <c r="F450" s="17"/>
      <c r="H450" s="18"/>
    </row>
    <row r="451" spans="4:8" ht="13.2" x14ac:dyDescent="0.25">
      <c r="D451" s="16"/>
      <c r="E451" s="16"/>
      <c r="F451" s="17"/>
      <c r="H451" s="18"/>
    </row>
    <row r="452" spans="4:8" ht="13.2" x14ac:dyDescent="0.25">
      <c r="D452" s="16"/>
      <c r="E452" s="16"/>
      <c r="F452" s="17"/>
      <c r="H452" s="18"/>
    </row>
    <row r="453" spans="4:8" ht="13.2" x14ac:dyDescent="0.25">
      <c r="D453" s="16"/>
      <c r="E453" s="16"/>
      <c r="F453" s="17"/>
      <c r="H453" s="18"/>
    </row>
    <row r="454" spans="4:8" ht="13.2" x14ac:dyDescent="0.25">
      <c r="D454" s="16"/>
      <c r="E454" s="16"/>
      <c r="F454" s="17"/>
      <c r="H454" s="18"/>
    </row>
    <row r="455" spans="4:8" ht="13.2" x14ac:dyDescent="0.25">
      <c r="D455" s="16"/>
      <c r="E455" s="16"/>
      <c r="F455" s="17"/>
      <c r="H455" s="18"/>
    </row>
    <row r="456" spans="4:8" ht="13.2" x14ac:dyDescent="0.25">
      <c r="D456" s="16"/>
      <c r="E456" s="16"/>
      <c r="F456" s="17"/>
      <c r="H456" s="18"/>
    </row>
    <row r="457" spans="4:8" ht="13.2" x14ac:dyDescent="0.25">
      <c r="D457" s="16"/>
      <c r="E457" s="16"/>
      <c r="F457" s="17"/>
      <c r="H457" s="18"/>
    </row>
    <row r="458" spans="4:8" ht="13.2" x14ac:dyDescent="0.25">
      <c r="D458" s="16"/>
      <c r="E458" s="16"/>
      <c r="F458" s="17"/>
      <c r="H458" s="18"/>
    </row>
    <row r="459" spans="4:8" ht="13.2" x14ac:dyDescent="0.25">
      <c r="D459" s="16"/>
      <c r="E459" s="16"/>
      <c r="F459" s="17"/>
      <c r="H459" s="18"/>
    </row>
    <row r="460" spans="4:8" ht="13.2" x14ac:dyDescent="0.25">
      <c r="D460" s="16"/>
      <c r="E460" s="16"/>
      <c r="F460" s="17"/>
      <c r="H460" s="18"/>
    </row>
    <row r="461" spans="4:8" ht="13.2" x14ac:dyDescent="0.25">
      <c r="D461" s="16"/>
      <c r="E461" s="16"/>
      <c r="F461" s="17"/>
      <c r="H461" s="18"/>
    </row>
    <row r="462" spans="4:8" ht="13.2" x14ac:dyDescent="0.25">
      <c r="D462" s="16"/>
      <c r="E462" s="16"/>
      <c r="F462" s="17"/>
      <c r="H462" s="18"/>
    </row>
    <row r="463" spans="4:8" ht="13.2" x14ac:dyDescent="0.25">
      <c r="D463" s="16"/>
      <c r="E463" s="16"/>
      <c r="F463" s="17"/>
      <c r="H463" s="18"/>
    </row>
    <row r="464" spans="4:8" ht="13.2" x14ac:dyDescent="0.25">
      <c r="D464" s="16"/>
      <c r="E464" s="16"/>
      <c r="F464" s="17"/>
      <c r="H464" s="18"/>
    </row>
    <row r="465" spans="4:8" ht="13.2" x14ac:dyDescent="0.25">
      <c r="D465" s="16"/>
      <c r="E465" s="16"/>
      <c r="F465" s="17"/>
      <c r="H465" s="18"/>
    </row>
    <row r="466" spans="4:8" ht="13.2" x14ac:dyDescent="0.25">
      <c r="D466" s="16"/>
      <c r="E466" s="16"/>
      <c r="F466" s="17"/>
      <c r="H466" s="18"/>
    </row>
    <row r="467" spans="4:8" ht="13.2" x14ac:dyDescent="0.25">
      <c r="D467" s="16"/>
      <c r="E467" s="16"/>
      <c r="F467" s="17"/>
      <c r="H467" s="18"/>
    </row>
    <row r="468" spans="4:8" ht="13.2" x14ac:dyDescent="0.25">
      <c r="D468" s="16"/>
      <c r="E468" s="16"/>
      <c r="F468" s="17"/>
      <c r="H468" s="18"/>
    </row>
    <row r="469" spans="4:8" ht="13.2" x14ac:dyDescent="0.25">
      <c r="D469" s="16"/>
      <c r="E469" s="16"/>
      <c r="F469" s="17"/>
      <c r="H469" s="18"/>
    </row>
    <row r="470" spans="4:8" ht="13.2" x14ac:dyDescent="0.25">
      <c r="D470" s="16"/>
      <c r="E470" s="16"/>
      <c r="F470" s="17"/>
      <c r="H470" s="18"/>
    </row>
    <row r="471" spans="4:8" ht="13.2" x14ac:dyDescent="0.25">
      <c r="D471" s="16"/>
      <c r="E471" s="16"/>
      <c r="F471" s="17"/>
      <c r="H471" s="18"/>
    </row>
    <row r="472" spans="4:8" ht="13.2" x14ac:dyDescent="0.25">
      <c r="D472" s="16"/>
      <c r="E472" s="16"/>
      <c r="F472" s="17"/>
      <c r="H472" s="18"/>
    </row>
    <row r="473" spans="4:8" ht="13.2" x14ac:dyDescent="0.25">
      <c r="D473" s="16"/>
      <c r="E473" s="16"/>
      <c r="F473" s="17"/>
      <c r="H473" s="18"/>
    </row>
    <row r="474" spans="4:8" ht="13.2" x14ac:dyDescent="0.25">
      <c r="D474" s="16"/>
      <c r="E474" s="16"/>
      <c r="F474" s="17"/>
      <c r="H474" s="18"/>
    </row>
    <row r="475" spans="4:8" ht="13.2" x14ac:dyDescent="0.25">
      <c r="D475" s="16"/>
      <c r="E475" s="16"/>
      <c r="F475" s="17"/>
      <c r="H475" s="18"/>
    </row>
    <row r="476" spans="4:8" ht="13.2" x14ac:dyDescent="0.25">
      <c r="D476" s="16"/>
      <c r="E476" s="16"/>
      <c r="F476" s="17"/>
      <c r="H476" s="18"/>
    </row>
    <row r="477" spans="4:8" ht="13.2" x14ac:dyDescent="0.25">
      <c r="D477" s="16"/>
      <c r="E477" s="16"/>
      <c r="F477" s="17"/>
      <c r="H477" s="18"/>
    </row>
    <row r="478" spans="4:8" ht="13.2" x14ac:dyDescent="0.25">
      <c r="D478" s="16"/>
      <c r="E478" s="16"/>
      <c r="F478" s="17"/>
      <c r="H478" s="18"/>
    </row>
    <row r="479" spans="4:8" ht="13.2" x14ac:dyDescent="0.25">
      <c r="D479" s="16"/>
      <c r="E479" s="16"/>
      <c r="F479" s="17"/>
      <c r="H479" s="18"/>
    </row>
    <row r="480" spans="4:8" ht="13.2" x14ac:dyDescent="0.25">
      <c r="D480" s="16"/>
      <c r="E480" s="16"/>
      <c r="F480" s="17"/>
      <c r="H480" s="18"/>
    </row>
    <row r="481" spans="4:8" ht="13.2" x14ac:dyDescent="0.25">
      <c r="D481" s="16"/>
      <c r="E481" s="16"/>
      <c r="F481" s="17"/>
      <c r="H481" s="18"/>
    </row>
    <row r="482" spans="4:8" ht="13.2" x14ac:dyDescent="0.25">
      <c r="D482" s="16"/>
      <c r="E482" s="16"/>
      <c r="F482" s="17"/>
      <c r="H482" s="18"/>
    </row>
    <row r="483" spans="4:8" ht="13.2" x14ac:dyDescent="0.25">
      <c r="D483" s="16"/>
      <c r="E483" s="16"/>
      <c r="F483" s="17"/>
      <c r="H483" s="18"/>
    </row>
    <row r="484" spans="4:8" ht="13.2" x14ac:dyDescent="0.25">
      <c r="D484" s="16"/>
      <c r="E484" s="16"/>
      <c r="F484" s="17"/>
      <c r="H484" s="18"/>
    </row>
    <row r="485" spans="4:8" ht="13.2" x14ac:dyDescent="0.25">
      <c r="D485" s="16"/>
      <c r="E485" s="16"/>
      <c r="F485" s="17"/>
      <c r="H485" s="18"/>
    </row>
    <row r="486" spans="4:8" ht="13.2" x14ac:dyDescent="0.25">
      <c r="D486" s="16"/>
      <c r="E486" s="16"/>
      <c r="F486" s="17"/>
      <c r="H486" s="18"/>
    </row>
    <row r="487" spans="4:8" ht="13.2" x14ac:dyDescent="0.25">
      <c r="D487" s="16"/>
      <c r="E487" s="16"/>
      <c r="F487" s="17"/>
      <c r="H487" s="18"/>
    </row>
    <row r="488" spans="4:8" ht="13.2" x14ac:dyDescent="0.25">
      <c r="D488" s="16"/>
      <c r="E488" s="16"/>
      <c r="F488" s="17"/>
      <c r="H488" s="18"/>
    </row>
    <row r="489" spans="4:8" ht="13.2" x14ac:dyDescent="0.25">
      <c r="D489" s="16"/>
      <c r="E489" s="16"/>
      <c r="F489" s="17"/>
      <c r="H489" s="18"/>
    </row>
    <row r="490" spans="4:8" ht="13.2" x14ac:dyDescent="0.25">
      <c r="D490" s="16"/>
      <c r="E490" s="16"/>
      <c r="F490" s="17"/>
      <c r="H490" s="18"/>
    </row>
    <row r="491" spans="4:8" ht="13.2" x14ac:dyDescent="0.25">
      <c r="D491" s="16"/>
      <c r="E491" s="16"/>
      <c r="F491" s="17"/>
      <c r="H491" s="18"/>
    </row>
    <row r="492" spans="4:8" ht="13.2" x14ac:dyDescent="0.25">
      <c r="D492" s="16"/>
      <c r="E492" s="16"/>
      <c r="F492" s="17"/>
      <c r="H492" s="18"/>
    </row>
    <row r="493" spans="4:8" ht="13.2" x14ac:dyDescent="0.25">
      <c r="D493" s="16"/>
      <c r="E493" s="16"/>
      <c r="F493" s="17"/>
      <c r="H493" s="18"/>
    </row>
    <row r="494" spans="4:8" ht="13.2" x14ac:dyDescent="0.25">
      <c r="D494" s="16"/>
      <c r="E494" s="16"/>
      <c r="F494" s="17"/>
      <c r="H494" s="18"/>
    </row>
    <row r="495" spans="4:8" ht="13.2" x14ac:dyDescent="0.25">
      <c r="D495" s="16"/>
      <c r="E495" s="16"/>
      <c r="F495" s="17"/>
      <c r="H495" s="18"/>
    </row>
    <row r="496" spans="4:8" ht="13.2" x14ac:dyDescent="0.25">
      <c r="D496" s="16"/>
      <c r="E496" s="16"/>
      <c r="F496" s="17"/>
      <c r="H496" s="18"/>
    </row>
    <row r="497" spans="4:8" ht="13.2" x14ac:dyDescent="0.25">
      <c r="D497" s="16"/>
      <c r="E497" s="16"/>
      <c r="F497" s="17"/>
      <c r="H497" s="18"/>
    </row>
    <row r="498" spans="4:8" ht="13.2" x14ac:dyDescent="0.25">
      <c r="D498" s="16"/>
      <c r="E498" s="16"/>
      <c r="F498" s="17"/>
      <c r="H498" s="18"/>
    </row>
    <row r="499" spans="4:8" ht="13.2" x14ac:dyDescent="0.25">
      <c r="D499" s="16"/>
      <c r="E499" s="16"/>
      <c r="F499" s="17"/>
      <c r="H499" s="18"/>
    </row>
    <row r="500" spans="4:8" ht="13.2" x14ac:dyDescent="0.25">
      <c r="D500" s="16"/>
      <c r="E500" s="16"/>
      <c r="F500" s="17"/>
      <c r="H500" s="18"/>
    </row>
    <row r="501" spans="4:8" ht="13.2" x14ac:dyDescent="0.25">
      <c r="D501" s="16"/>
      <c r="E501" s="16"/>
      <c r="F501" s="17"/>
      <c r="H501" s="18"/>
    </row>
    <row r="502" spans="4:8" ht="13.2" x14ac:dyDescent="0.25">
      <c r="D502" s="16"/>
      <c r="E502" s="16"/>
      <c r="F502" s="17"/>
      <c r="H502" s="18"/>
    </row>
    <row r="503" spans="4:8" ht="13.2" x14ac:dyDescent="0.25">
      <c r="D503" s="16"/>
      <c r="E503" s="16"/>
      <c r="F503" s="17"/>
      <c r="H503" s="18"/>
    </row>
    <row r="504" spans="4:8" ht="13.2" x14ac:dyDescent="0.25">
      <c r="D504" s="16"/>
      <c r="E504" s="16"/>
      <c r="F504" s="17"/>
      <c r="H504" s="18"/>
    </row>
    <row r="505" spans="4:8" ht="13.2" x14ac:dyDescent="0.25">
      <c r="D505" s="16"/>
      <c r="E505" s="16"/>
      <c r="F505" s="17"/>
      <c r="H505" s="18"/>
    </row>
    <row r="506" spans="4:8" ht="13.2" x14ac:dyDescent="0.25">
      <c r="D506" s="16"/>
      <c r="E506" s="16"/>
      <c r="F506" s="17"/>
      <c r="H506" s="18"/>
    </row>
    <row r="507" spans="4:8" ht="13.2" x14ac:dyDescent="0.25">
      <c r="D507" s="16"/>
      <c r="E507" s="16"/>
      <c r="F507" s="17"/>
      <c r="H507" s="18"/>
    </row>
    <row r="508" spans="4:8" ht="13.2" x14ac:dyDescent="0.25">
      <c r="D508" s="16"/>
      <c r="E508" s="16"/>
      <c r="F508" s="17"/>
      <c r="H508" s="18"/>
    </row>
    <row r="509" spans="4:8" ht="13.2" x14ac:dyDescent="0.25">
      <c r="D509" s="16"/>
      <c r="E509" s="16"/>
      <c r="F509" s="17"/>
      <c r="H509" s="18"/>
    </row>
    <row r="510" spans="4:8" ht="13.2" x14ac:dyDescent="0.25">
      <c r="D510" s="16"/>
      <c r="E510" s="16"/>
      <c r="F510" s="17"/>
      <c r="H510" s="18"/>
    </row>
    <row r="511" spans="4:8" ht="13.2" x14ac:dyDescent="0.25">
      <c r="D511" s="16"/>
      <c r="E511" s="16"/>
      <c r="F511" s="17"/>
      <c r="H511" s="18"/>
    </row>
    <row r="512" spans="4:8" ht="13.2" x14ac:dyDescent="0.25">
      <c r="D512" s="16"/>
      <c r="E512" s="16"/>
      <c r="F512" s="17"/>
      <c r="H512" s="18"/>
    </row>
    <row r="513" spans="4:8" ht="13.2" x14ac:dyDescent="0.25">
      <c r="D513" s="16"/>
      <c r="E513" s="16"/>
      <c r="F513" s="17"/>
      <c r="H513" s="18"/>
    </row>
    <row r="514" spans="4:8" ht="13.2" x14ac:dyDescent="0.25">
      <c r="D514" s="16"/>
      <c r="E514" s="16"/>
      <c r="F514" s="17"/>
      <c r="H514" s="18"/>
    </row>
    <row r="515" spans="4:8" ht="13.2" x14ac:dyDescent="0.25">
      <c r="D515" s="16"/>
      <c r="E515" s="16"/>
      <c r="F515" s="17"/>
      <c r="H515" s="18"/>
    </row>
    <row r="516" spans="4:8" ht="13.2" x14ac:dyDescent="0.25">
      <c r="D516" s="16"/>
      <c r="E516" s="16"/>
      <c r="F516" s="17"/>
      <c r="H516" s="18"/>
    </row>
    <row r="517" spans="4:8" ht="13.2" x14ac:dyDescent="0.25">
      <c r="D517" s="16"/>
      <c r="E517" s="16"/>
      <c r="F517" s="17"/>
      <c r="H517" s="18"/>
    </row>
    <row r="518" spans="4:8" ht="13.2" x14ac:dyDescent="0.25">
      <c r="D518" s="16"/>
      <c r="E518" s="16"/>
      <c r="F518" s="17"/>
      <c r="H518" s="18"/>
    </row>
    <row r="519" spans="4:8" ht="13.2" x14ac:dyDescent="0.25">
      <c r="D519" s="16"/>
      <c r="E519" s="16"/>
      <c r="F519" s="17"/>
      <c r="H519" s="18"/>
    </row>
    <row r="520" spans="4:8" ht="13.2" x14ac:dyDescent="0.25">
      <c r="D520" s="16"/>
      <c r="E520" s="16"/>
      <c r="F520" s="17"/>
      <c r="H520" s="18"/>
    </row>
    <row r="521" spans="4:8" ht="13.2" x14ac:dyDescent="0.25">
      <c r="D521" s="16"/>
      <c r="E521" s="16"/>
      <c r="F521" s="17"/>
      <c r="H521" s="18"/>
    </row>
    <row r="522" spans="4:8" ht="13.2" x14ac:dyDescent="0.25">
      <c r="D522" s="16"/>
      <c r="E522" s="16"/>
      <c r="F522" s="17"/>
      <c r="H522" s="18"/>
    </row>
    <row r="523" spans="4:8" ht="13.2" x14ac:dyDescent="0.25">
      <c r="D523" s="16"/>
      <c r="E523" s="16"/>
      <c r="F523" s="17"/>
      <c r="H523" s="18"/>
    </row>
    <row r="524" spans="4:8" ht="13.2" x14ac:dyDescent="0.25">
      <c r="D524" s="16"/>
      <c r="E524" s="16"/>
      <c r="F524" s="17"/>
      <c r="H524" s="18"/>
    </row>
    <row r="525" spans="4:8" ht="13.2" x14ac:dyDescent="0.25">
      <c r="D525" s="16"/>
      <c r="E525" s="16"/>
      <c r="F525" s="17"/>
      <c r="H525" s="18"/>
    </row>
    <row r="526" spans="4:8" ht="13.2" x14ac:dyDescent="0.25">
      <c r="D526" s="16"/>
      <c r="E526" s="16"/>
      <c r="F526" s="17"/>
      <c r="H526" s="18"/>
    </row>
    <row r="527" spans="4:8" ht="13.2" x14ac:dyDescent="0.25">
      <c r="D527" s="16"/>
      <c r="E527" s="16"/>
      <c r="F527" s="17"/>
      <c r="H527" s="18"/>
    </row>
    <row r="528" spans="4:8" ht="13.2" x14ac:dyDescent="0.25">
      <c r="D528" s="16"/>
      <c r="E528" s="16"/>
      <c r="F528" s="17"/>
      <c r="H528" s="18"/>
    </row>
    <row r="529" spans="4:8" ht="13.2" x14ac:dyDescent="0.25">
      <c r="D529" s="16"/>
      <c r="E529" s="16"/>
      <c r="F529" s="17"/>
      <c r="H529" s="18"/>
    </row>
    <row r="530" spans="4:8" ht="13.2" x14ac:dyDescent="0.25">
      <c r="D530" s="16"/>
      <c r="E530" s="16"/>
      <c r="F530" s="17"/>
      <c r="H530" s="18"/>
    </row>
    <row r="531" spans="4:8" ht="13.2" x14ac:dyDescent="0.25">
      <c r="D531" s="16"/>
      <c r="E531" s="16"/>
      <c r="F531" s="17"/>
      <c r="H531" s="18"/>
    </row>
    <row r="532" spans="4:8" ht="13.2" x14ac:dyDescent="0.25">
      <c r="D532" s="16"/>
      <c r="E532" s="16"/>
      <c r="F532" s="17"/>
      <c r="H532" s="18"/>
    </row>
    <row r="533" spans="4:8" ht="13.2" x14ac:dyDescent="0.25">
      <c r="D533" s="16"/>
      <c r="E533" s="16"/>
      <c r="F533" s="17"/>
      <c r="H533" s="18"/>
    </row>
    <row r="534" spans="4:8" ht="13.2" x14ac:dyDescent="0.25">
      <c r="D534" s="16"/>
      <c r="E534" s="16"/>
      <c r="F534" s="17"/>
      <c r="H534" s="18"/>
    </row>
    <row r="535" spans="4:8" ht="13.2" x14ac:dyDescent="0.25">
      <c r="D535" s="16"/>
      <c r="E535" s="16"/>
      <c r="F535" s="17"/>
      <c r="H535" s="18"/>
    </row>
    <row r="536" spans="4:8" ht="13.2" x14ac:dyDescent="0.25">
      <c r="D536" s="16"/>
      <c r="E536" s="16"/>
      <c r="F536" s="17"/>
      <c r="H536" s="18"/>
    </row>
    <row r="537" spans="4:8" ht="13.2" x14ac:dyDescent="0.25">
      <c r="D537" s="16"/>
      <c r="E537" s="16"/>
      <c r="F537" s="17"/>
      <c r="H537" s="18"/>
    </row>
    <row r="538" spans="4:8" ht="13.2" x14ac:dyDescent="0.25">
      <c r="D538" s="16"/>
      <c r="E538" s="16"/>
      <c r="F538" s="17"/>
      <c r="H538" s="18"/>
    </row>
    <row r="539" spans="4:8" ht="13.2" x14ac:dyDescent="0.25">
      <c r="D539" s="16"/>
      <c r="E539" s="16"/>
      <c r="F539" s="17"/>
      <c r="H539" s="18"/>
    </row>
    <row r="540" spans="4:8" ht="13.2" x14ac:dyDescent="0.25">
      <c r="D540" s="16"/>
      <c r="E540" s="16"/>
      <c r="F540" s="17"/>
      <c r="H540" s="18"/>
    </row>
    <row r="541" spans="4:8" ht="13.2" x14ac:dyDescent="0.25">
      <c r="D541" s="16"/>
      <c r="E541" s="16"/>
      <c r="F541" s="17"/>
      <c r="H541" s="18"/>
    </row>
    <row r="542" spans="4:8" ht="13.2" x14ac:dyDescent="0.25">
      <c r="D542" s="16"/>
      <c r="E542" s="16"/>
      <c r="F542" s="17"/>
      <c r="H542" s="18"/>
    </row>
    <row r="543" spans="4:8" ht="13.2" x14ac:dyDescent="0.25">
      <c r="D543" s="16"/>
      <c r="E543" s="16"/>
      <c r="F543" s="17"/>
      <c r="H543" s="18"/>
    </row>
    <row r="544" spans="4:8" ht="13.2" x14ac:dyDescent="0.25">
      <c r="D544" s="16"/>
      <c r="E544" s="16"/>
      <c r="F544" s="17"/>
      <c r="H544" s="18"/>
    </row>
    <row r="545" spans="4:8" ht="13.2" x14ac:dyDescent="0.25">
      <c r="D545" s="16"/>
      <c r="E545" s="16"/>
      <c r="F545" s="17"/>
      <c r="H545" s="18"/>
    </row>
    <row r="546" spans="4:8" ht="13.2" x14ac:dyDescent="0.25">
      <c r="D546" s="16"/>
      <c r="E546" s="16"/>
      <c r="F546" s="17"/>
      <c r="H546" s="18"/>
    </row>
    <row r="547" spans="4:8" ht="13.2" x14ac:dyDescent="0.25">
      <c r="D547" s="16"/>
      <c r="E547" s="16"/>
      <c r="F547" s="17"/>
      <c r="H547" s="18"/>
    </row>
    <row r="548" spans="4:8" ht="13.2" x14ac:dyDescent="0.25">
      <c r="D548" s="16"/>
      <c r="E548" s="16"/>
      <c r="F548" s="17"/>
      <c r="H548" s="18"/>
    </row>
    <row r="549" spans="4:8" ht="13.2" x14ac:dyDescent="0.25">
      <c r="D549" s="16"/>
      <c r="E549" s="16"/>
      <c r="F549" s="17"/>
      <c r="H549" s="18"/>
    </row>
    <row r="550" spans="4:8" ht="13.2" x14ac:dyDescent="0.25">
      <c r="D550" s="16"/>
      <c r="E550" s="16"/>
      <c r="F550" s="17"/>
      <c r="H550" s="18"/>
    </row>
    <row r="551" spans="4:8" ht="13.2" x14ac:dyDescent="0.25">
      <c r="D551" s="16"/>
      <c r="E551" s="16"/>
      <c r="F551" s="17"/>
      <c r="H551" s="18"/>
    </row>
    <row r="552" spans="4:8" ht="13.2" x14ac:dyDescent="0.25">
      <c r="D552" s="16"/>
      <c r="E552" s="16"/>
      <c r="F552" s="17"/>
      <c r="H552" s="18"/>
    </row>
    <row r="553" spans="4:8" ht="13.2" x14ac:dyDescent="0.25">
      <c r="D553" s="16"/>
      <c r="E553" s="16"/>
      <c r="F553" s="17"/>
      <c r="H553" s="18"/>
    </row>
    <row r="554" spans="4:8" ht="13.2" x14ac:dyDescent="0.25">
      <c r="D554" s="16"/>
      <c r="E554" s="16"/>
      <c r="F554" s="17"/>
      <c r="H554" s="18"/>
    </row>
    <row r="555" spans="4:8" ht="13.2" x14ac:dyDescent="0.25">
      <c r="D555" s="16"/>
      <c r="E555" s="16"/>
      <c r="F555" s="17"/>
      <c r="H555" s="18"/>
    </row>
    <row r="556" spans="4:8" ht="13.2" x14ac:dyDescent="0.25">
      <c r="D556" s="16"/>
      <c r="E556" s="16"/>
      <c r="F556" s="17"/>
      <c r="H556" s="18"/>
    </row>
    <row r="557" spans="4:8" ht="13.2" x14ac:dyDescent="0.25">
      <c r="D557" s="16"/>
      <c r="E557" s="16"/>
      <c r="F557" s="17"/>
      <c r="H557" s="18"/>
    </row>
    <row r="558" spans="4:8" ht="13.2" x14ac:dyDescent="0.25">
      <c r="D558" s="16"/>
      <c r="E558" s="16"/>
      <c r="F558" s="17"/>
      <c r="H558" s="18"/>
    </row>
    <row r="559" spans="4:8" ht="13.2" x14ac:dyDescent="0.25">
      <c r="D559" s="16"/>
      <c r="E559" s="16"/>
      <c r="F559" s="17"/>
      <c r="H559" s="18"/>
    </row>
    <row r="560" spans="4:8" ht="13.2" x14ac:dyDescent="0.25">
      <c r="D560" s="16"/>
      <c r="E560" s="16"/>
      <c r="F560" s="17"/>
      <c r="H560" s="18"/>
    </row>
    <row r="561" spans="4:8" ht="13.2" x14ac:dyDescent="0.25">
      <c r="D561" s="16"/>
      <c r="E561" s="16"/>
      <c r="F561" s="17"/>
      <c r="H561" s="18"/>
    </row>
    <row r="562" spans="4:8" ht="13.2" x14ac:dyDescent="0.25">
      <c r="D562" s="16"/>
      <c r="E562" s="16"/>
      <c r="F562" s="17"/>
      <c r="H562" s="18"/>
    </row>
    <row r="563" spans="4:8" ht="13.2" x14ac:dyDescent="0.25">
      <c r="D563" s="16"/>
      <c r="E563" s="16"/>
      <c r="F563" s="17"/>
      <c r="H563" s="18"/>
    </row>
    <row r="564" spans="4:8" ht="13.2" x14ac:dyDescent="0.25">
      <c r="D564" s="16"/>
      <c r="E564" s="16"/>
      <c r="F564" s="17"/>
      <c r="H564" s="18"/>
    </row>
    <row r="565" spans="4:8" ht="13.2" x14ac:dyDescent="0.25">
      <c r="D565" s="16"/>
      <c r="E565" s="16"/>
      <c r="F565" s="17"/>
      <c r="H565" s="18"/>
    </row>
    <row r="566" spans="4:8" ht="13.2" x14ac:dyDescent="0.25">
      <c r="D566" s="16"/>
      <c r="E566" s="16"/>
      <c r="F566" s="17"/>
      <c r="H566" s="18"/>
    </row>
    <row r="567" spans="4:8" ht="13.2" x14ac:dyDescent="0.25">
      <c r="D567" s="16"/>
      <c r="E567" s="16"/>
      <c r="F567" s="17"/>
      <c r="H567" s="18"/>
    </row>
    <row r="568" spans="4:8" ht="13.2" x14ac:dyDescent="0.25">
      <c r="D568" s="16"/>
      <c r="E568" s="16"/>
      <c r="F568" s="17"/>
      <c r="H568" s="18"/>
    </row>
    <row r="569" spans="4:8" ht="13.2" x14ac:dyDescent="0.25">
      <c r="D569" s="16"/>
      <c r="E569" s="16"/>
      <c r="F569" s="17"/>
      <c r="H569" s="18"/>
    </row>
    <row r="570" spans="4:8" ht="13.2" x14ac:dyDescent="0.25">
      <c r="D570" s="16"/>
      <c r="E570" s="16"/>
      <c r="F570" s="17"/>
      <c r="H570" s="18"/>
    </row>
    <row r="571" spans="4:8" ht="13.2" x14ac:dyDescent="0.25">
      <c r="D571" s="16"/>
      <c r="E571" s="16"/>
      <c r="F571" s="17"/>
      <c r="H571" s="18"/>
    </row>
    <row r="572" spans="4:8" ht="13.2" x14ac:dyDescent="0.25">
      <c r="D572" s="16"/>
      <c r="E572" s="16"/>
      <c r="F572" s="17"/>
      <c r="H572" s="18"/>
    </row>
    <row r="573" spans="4:8" ht="13.2" x14ac:dyDescent="0.25">
      <c r="D573" s="16"/>
      <c r="E573" s="16"/>
      <c r="F573" s="17"/>
      <c r="H573" s="18"/>
    </row>
    <row r="574" spans="4:8" ht="13.2" x14ac:dyDescent="0.25">
      <c r="D574" s="16"/>
      <c r="E574" s="16"/>
      <c r="F574" s="17"/>
      <c r="H574" s="18"/>
    </row>
    <row r="575" spans="4:8" ht="13.2" x14ac:dyDescent="0.25">
      <c r="D575" s="16"/>
      <c r="E575" s="16"/>
      <c r="F575" s="17"/>
      <c r="H575" s="18"/>
    </row>
    <row r="576" spans="4:8" ht="13.2" x14ac:dyDescent="0.25">
      <c r="D576" s="16"/>
      <c r="E576" s="16"/>
      <c r="F576" s="17"/>
      <c r="H576" s="18"/>
    </row>
    <row r="577" spans="4:8" ht="13.2" x14ac:dyDescent="0.25">
      <c r="D577" s="16"/>
      <c r="E577" s="16"/>
      <c r="F577" s="17"/>
      <c r="H577" s="18"/>
    </row>
    <row r="578" spans="4:8" ht="13.2" x14ac:dyDescent="0.25">
      <c r="D578" s="16"/>
      <c r="E578" s="16"/>
      <c r="F578" s="17"/>
      <c r="H578" s="18"/>
    </row>
    <row r="579" spans="4:8" ht="13.2" x14ac:dyDescent="0.25">
      <c r="D579" s="16"/>
      <c r="E579" s="16"/>
      <c r="F579" s="17"/>
      <c r="H579" s="18"/>
    </row>
    <row r="580" spans="4:8" ht="13.2" x14ac:dyDescent="0.25">
      <c r="D580" s="16"/>
      <c r="E580" s="16"/>
      <c r="F580" s="17"/>
      <c r="H580" s="18"/>
    </row>
    <row r="581" spans="4:8" ht="13.2" x14ac:dyDescent="0.25">
      <c r="D581" s="16"/>
      <c r="E581" s="16"/>
      <c r="F581" s="17"/>
      <c r="H581" s="18"/>
    </row>
    <row r="582" spans="4:8" ht="13.2" x14ac:dyDescent="0.25">
      <c r="D582" s="16"/>
      <c r="E582" s="16"/>
      <c r="F582" s="17"/>
      <c r="H582" s="18"/>
    </row>
    <row r="583" spans="4:8" ht="13.2" x14ac:dyDescent="0.25">
      <c r="D583" s="16"/>
      <c r="E583" s="16"/>
      <c r="F583" s="17"/>
      <c r="H583" s="18"/>
    </row>
    <row r="584" spans="4:8" ht="13.2" x14ac:dyDescent="0.25">
      <c r="D584" s="16"/>
      <c r="E584" s="16"/>
      <c r="F584" s="17"/>
      <c r="H584" s="18"/>
    </row>
    <row r="585" spans="4:8" ht="13.2" x14ac:dyDescent="0.25">
      <c r="D585" s="16"/>
      <c r="E585" s="16"/>
      <c r="F585" s="17"/>
      <c r="H585" s="18"/>
    </row>
    <row r="586" spans="4:8" ht="13.2" x14ac:dyDescent="0.25">
      <c r="D586" s="16"/>
      <c r="E586" s="16"/>
      <c r="F586" s="17"/>
      <c r="H586" s="18"/>
    </row>
    <row r="587" spans="4:8" ht="13.2" x14ac:dyDescent="0.25">
      <c r="D587" s="16"/>
      <c r="E587" s="16"/>
      <c r="F587" s="17"/>
      <c r="H587" s="18"/>
    </row>
    <row r="588" spans="4:8" ht="13.2" x14ac:dyDescent="0.25">
      <c r="D588" s="16"/>
      <c r="E588" s="16"/>
      <c r="F588" s="17"/>
      <c r="H588" s="18"/>
    </row>
    <row r="589" spans="4:8" ht="13.2" x14ac:dyDescent="0.25">
      <c r="D589" s="16"/>
      <c r="E589" s="16"/>
      <c r="F589" s="17"/>
      <c r="H589" s="18"/>
    </row>
    <row r="590" spans="4:8" ht="13.2" x14ac:dyDescent="0.25">
      <c r="D590" s="16"/>
      <c r="E590" s="16"/>
      <c r="F590" s="17"/>
      <c r="H590" s="18"/>
    </row>
    <row r="591" spans="4:8" ht="13.2" x14ac:dyDescent="0.25">
      <c r="D591" s="16"/>
      <c r="E591" s="16"/>
      <c r="F591" s="17"/>
      <c r="H591" s="18"/>
    </row>
    <row r="592" spans="4:8" ht="13.2" x14ac:dyDescent="0.25">
      <c r="D592" s="16"/>
      <c r="E592" s="16"/>
      <c r="F592" s="17"/>
      <c r="H592" s="18"/>
    </row>
    <row r="593" spans="4:8" ht="13.2" x14ac:dyDescent="0.25">
      <c r="D593" s="16"/>
      <c r="E593" s="16"/>
      <c r="F593" s="17"/>
      <c r="H593" s="18"/>
    </row>
    <row r="594" spans="4:8" ht="13.2" x14ac:dyDescent="0.25">
      <c r="D594" s="16"/>
      <c r="E594" s="16"/>
      <c r="F594" s="17"/>
      <c r="H594" s="18"/>
    </row>
    <row r="595" spans="4:8" ht="13.2" x14ac:dyDescent="0.25">
      <c r="D595" s="16"/>
      <c r="E595" s="16"/>
      <c r="F595" s="17"/>
      <c r="H595" s="18"/>
    </row>
    <row r="596" spans="4:8" ht="13.2" x14ac:dyDescent="0.25">
      <c r="D596" s="16"/>
      <c r="E596" s="16"/>
      <c r="F596" s="17"/>
      <c r="H596" s="18"/>
    </row>
    <row r="597" spans="4:8" ht="13.2" x14ac:dyDescent="0.25">
      <c r="D597" s="16"/>
      <c r="E597" s="16"/>
      <c r="F597" s="17"/>
      <c r="H597" s="18"/>
    </row>
    <row r="598" spans="4:8" ht="13.2" x14ac:dyDescent="0.25">
      <c r="D598" s="16"/>
      <c r="E598" s="16"/>
      <c r="F598" s="17"/>
      <c r="H598" s="18"/>
    </row>
    <row r="599" spans="4:8" ht="13.2" x14ac:dyDescent="0.25">
      <c r="D599" s="16"/>
      <c r="E599" s="16"/>
      <c r="F599" s="17"/>
      <c r="H599" s="18"/>
    </row>
    <row r="600" spans="4:8" ht="13.2" x14ac:dyDescent="0.25">
      <c r="D600" s="16"/>
      <c r="E600" s="16"/>
      <c r="F600" s="17"/>
      <c r="H600" s="18"/>
    </row>
    <row r="601" spans="4:8" ht="13.2" x14ac:dyDescent="0.25">
      <c r="D601" s="16"/>
      <c r="E601" s="16"/>
      <c r="F601" s="17"/>
      <c r="H601" s="18"/>
    </row>
    <row r="602" spans="4:8" ht="13.2" x14ac:dyDescent="0.25">
      <c r="D602" s="16"/>
      <c r="E602" s="16"/>
      <c r="F602" s="17"/>
      <c r="H602" s="18"/>
    </row>
    <row r="603" spans="4:8" ht="13.2" x14ac:dyDescent="0.25">
      <c r="D603" s="16"/>
      <c r="E603" s="16"/>
      <c r="F603" s="17"/>
      <c r="H603" s="18"/>
    </row>
    <row r="604" spans="4:8" ht="13.2" x14ac:dyDescent="0.25">
      <c r="D604" s="16"/>
      <c r="E604" s="16"/>
      <c r="F604" s="17"/>
      <c r="H604" s="18"/>
    </row>
    <row r="605" spans="4:8" ht="13.2" x14ac:dyDescent="0.25">
      <c r="D605" s="16"/>
      <c r="E605" s="16"/>
      <c r="F605" s="17"/>
      <c r="H605" s="18"/>
    </row>
    <row r="606" spans="4:8" ht="13.2" x14ac:dyDescent="0.25">
      <c r="D606" s="16"/>
      <c r="E606" s="16"/>
      <c r="F606" s="17"/>
      <c r="H606" s="18"/>
    </row>
    <row r="607" spans="4:8" ht="13.2" x14ac:dyDescent="0.25">
      <c r="D607" s="16"/>
      <c r="E607" s="16"/>
      <c r="F607" s="17"/>
      <c r="H607" s="18"/>
    </row>
    <row r="608" spans="4:8" ht="13.2" x14ac:dyDescent="0.25">
      <c r="D608" s="16"/>
      <c r="E608" s="16"/>
      <c r="F608" s="17"/>
      <c r="H608" s="18"/>
    </row>
    <row r="609" spans="4:8" ht="13.2" x14ac:dyDescent="0.25">
      <c r="D609" s="16"/>
      <c r="E609" s="16"/>
      <c r="F609" s="17"/>
      <c r="H609" s="18"/>
    </row>
    <row r="610" spans="4:8" ht="13.2" x14ac:dyDescent="0.25">
      <c r="D610" s="16"/>
      <c r="E610" s="16"/>
      <c r="F610" s="17"/>
      <c r="H610" s="18"/>
    </row>
    <row r="611" spans="4:8" ht="13.2" x14ac:dyDescent="0.25">
      <c r="D611" s="16"/>
      <c r="E611" s="16"/>
      <c r="F611" s="17"/>
      <c r="H611" s="18"/>
    </row>
    <row r="612" spans="4:8" ht="13.2" x14ac:dyDescent="0.25">
      <c r="D612" s="16"/>
      <c r="E612" s="16"/>
      <c r="F612" s="17"/>
      <c r="H612" s="18"/>
    </row>
    <row r="613" spans="4:8" ht="13.2" x14ac:dyDescent="0.25">
      <c r="D613" s="16"/>
      <c r="E613" s="16"/>
      <c r="F613" s="17"/>
      <c r="H613" s="18"/>
    </row>
    <row r="614" spans="4:8" ht="13.2" x14ac:dyDescent="0.25">
      <c r="D614" s="16"/>
      <c r="E614" s="16"/>
      <c r="F614" s="17"/>
      <c r="H614" s="18"/>
    </row>
    <row r="615" spans="4:8" ht="13.2" x14ac:dyDescent="0.25">
      <c r="D615" s="16"/>
      <c r="E615" s="16"/>
      <c r="F615" s="17"/>
      <c r="H615" s="18"/>
    </row>
    <row r="616" spans="4:8" ht="13.2" x14ac:dyDescent="0.25">
      <c r="D616" s="16"/>
      <c r="E616" s="16"/>
      <c r="F616" s="17"/>
      <c r="H616" s="18"/>
    </row>
    <row r="617" spans="4:8" ht="13.2" x14ac:dyDescent="0.25">
      <c r="D617" s="16"/>
      <c r="E617" s="16"/>
      <c r="F617" s="17"/>
      <c r="H617" s="18"/>
    </row>
    <row r="618" spans="4:8" ht="13.2" x14ac:dyDescent="0.25">
      <c r="D618" s="16"/>
      <c r="E618" s="16"/>
      <c r="F618" s="17"/>
      <c r="H618" s="18"/>
    </row>
    <row r="619" spans="4:8" ht="13.2" x14ac:dyDescent="0.25">
      <c r="D619" s="16"/>
      <c r="E619" s="16"/>
      <c r="F619" s="17"/>
      <c r="H619" s="18"/>
    </row>
    <row r="620" spans="4:8" ht="13.2" x14ac:dyDescent="0.25">
      <c r="D620" s="16"/>
      <c r="E620" s="16"/>
      <c r="F620" s="17"/>
      <c r="H620" s="18"/>
    </row>
    <row r="621" spans="4:8" ht="13.2" x14ac:dyDescent="0.25">
      <c r="D621" s="16"/>
      <c r="E621" s="16"/>
      <c r="F621" s="17"/>
      <c r="H621" s="18"/>
    </row>
    <row r="622" spans="4:8" ht="13.2" x14ac:dyDescent="0.25">
      <c r="D622" s="16"/>
      <c r="E622" s="16"/>
      <c r="F622" s="17"/>
      <c r="H622" s="18"/>
    </row>
    <row r="623" spans="4:8" ht="13.2" x14ac:dyDescent="0.25">
      <c r="D623" s="16"/>
      <c r="E623" s="16"/>
      <c r="F623" s="17"/>
      <c r="H623" s="18"/>
    </row>
    <row r="624" spans="4:8" ht="13.2" x14ac:dyDescent="0.25">
      <c r="D624" s="16"/>
      <c r="E624" s="16"/>
      <c r="F624" s="17"/>
      <c r="H624" s="18"/>
    </row>
    <row r="625" spans="4:8" ht="13.2" x14ac:dyDescent="0.25">
      <c r="D625" s="16"/>
      <c r="E625" s="16"/>
      <c r="F625" s="17"/>
      <c r="H625" s="18"/>
    </row>
    <row r="626" spans="4:8" ht="13.2" x14ac:dyDescent="0.25">
      <c r="D626" s="16"/>
      <c r="E626" s="16"/>
      <c r="F626" s="17"/>
      <c r="H626" s="18"/>
    </row>
    <row r="627" spans="4:8" ht="13.2" x14ac:dyDescent="0.25">
      <c r="D627" s="16"/>
      <c r="E627" s="16"/>
      <c r="F627" s="17"/>
      <c r="H627" s="18"/>
    </row>
    <row r="628" spans="4:8" ht="13.2" x14ac:dyDescent="0.25">
      <c r="D628" s="16"/>
      <c r="E628" s="16"/>
      <c r="F628" s="17"/>
      <c r="H628" s="18"/>
    </row>
    <row r="629" spans="4:8" ht="13.2" x14ac:dyDescent="0.25">
      <c r="D629" s="16"/>
      <c r="E629" s="16"/>
      <c r="F629" s="17"/>
      <c r="H629" s="18"/>
    </row>
    <row r="630" spans="4:8" ht="13.2" x14ac:dyDescent="0.25">
      <c r="D630" s="16"/>
      <c r="E630" s="16"/>
      <c r="F630" s="17"/>
      <c r="H630" s="18"/>
    </row>
    <row r="631" spans="4:8" ht="13.2" x14ac:dyDescent="0.25">
      <c r="D631" s="16"/>
      <c r="E631" s="16"/>
      <c r="F631" s="17"/>
      <c r="H631" s="18"/>
    </row>
    <row r="632" spans="4:8" ht="13.2" x14ac:dyDescent="0.25">
      <c r="D632" s="16"/>
      <c r="E632" s="16"/>
      <c r="F632" s="17"/>
      <c r="H632" s="18"/>
    </row>
    <row r="633" spans="4:8" ht="13.2" x14ac:dyDescent="0.25">
      <c r="D633" s="16"/>
      <c r="E633" s="16"/>
      <c r="F633" s="17"/>
      <c r="H633" s="18"/>
    </row>
    <row r="634" spans="4:8" ht="13.2" x14ac:dyDescent="0.25">
      <c r="D634" s="16"/>
      <c r="E634" s="16"/>
      <c r="F634" s="17"/>
      <c r="H634" s="18"/>
    </row>
    <row r="635" spans="4:8" ht="13.2" x14ac:dyDescent="0.25">
      <c r="D635" s="16"/>
      <c r="E635" s="16"/>
      <c r="F635" s="17"/>
      <c r="H635" s="18"/>
    </row>
    <row r="636" spans="4:8" ht="13.2" x14ac:dyDescent="0.25">
      <c r="D636" s="16"/>
      <c r="E636" s="16"/>
      <c r="F636" s="17"/>
      <c r="H636" s="18"/>
    </row>
    <row r="637" spans="4:8" ht="13.2" x14ac:dyDescent="0.25">
      <c r="D637" s="16"/>
      <c r="E637" s="16"/>
      <c r="F637" s="17"/>
      <c r="H637" s="18"/>
    </row>
    <row r="638" spans="4:8" ht="13.2" x14ac:dyDescent="0.25">
      <c r="D638" s="16"/>
      <c r="E638" s="16"/>
      <c r="F638" s="17"/>
      <c r="H638" s="18"/>
    </row>
    <row r="639" spans="4:8" ht="13.2" x14ac:dyDescent="0.25">
      <c r="D639" s="16"/>
      <c r="E639" s="16"/>
      <c r="F639" s="17"/>
      <c r="H639" s="18"/>
    </row>
    <row r="640" spans="4:8" ht="13.2" x14ac:dyDescent="0.25">
      <c r="D640" s="16"/>
      <c r="E640" s="16"/>
      <c r="F640" s="17"/>
      <c r="H640" s="18"/>
    </row>
    <row r="641" spans="4:8" ht="13.2" x14ac:dyDescent="0.25">
      <c r="D641" s="16"/>
      <c r="E641" s="16"/>
      <c r="F641" s="17"/>
      <c r="H641" s="18"/>
    </row>
    <row r="642" spans="4:8" ht="13.2" x14ac:dyDescent="0.25">
      <c r="D642" s="16"/>
      <c r="E642" s="16"/>
      <c r="F642" s="17"/>
      <c r="H642" s="18"/>
    </row>
    <row r="643" spans="4:8" ht="13.2" x14ac:dyDescent="0.25">
      <c r="D643" s="16"/>
      <c r="E643" s="16"/>
      <c r="F643" s="17"/>
      <c r="H643" s="18"/>
    </row>
    <row r="644" spans="4:8" ht="13.2" x14ac:dyDescent="0.25">
      <c r="D644" s="16"/>
      <c r="E644" s="16"/>
      <c r="F644" s="17"/>
      <c r="H644" s="18"/>
    </row>
    <row r="645" spans="4:8" ht="13.2" x14ac:dyDescent="0.25">
      <c r="D645" s="16"/>
      <c r="E645" s="16"/>
      <c r="F645" s="17"/>
      <c r="H645" s="18"/>
    </row>
    <row r="646" spans="4:8" ht="13.2" x14ac:dyDescent="0.25">
      <c r="D646" s="16"/>
      <c r="E646" s="16"/>
      <c r="F646" s="17"/>
      <c r="H646" s="18"/>
    </row>
    <row r="647" spans="4:8" ht="13.2" x14ac:dyDescent="0.25">
      <c r="D647" s="16"/>
      <c r="E647" s="16"/>
      <c r="F647" s="17"/>
      <c r="H647" s="18"/>
    </row>
    <row r="648" spans="4:8" ht="13.2" x14ac:dyDescent="0.25">
      <c r="D648" s="16"/>
      <c r="E648" s="16"/>
      <c r="F648" s="17"/>
      <c r="H648" s="18"/>
    </row>
    <row r="649" spans="4:8" ht="13.2" x14ac:dyDescent="0.25">
      <c r="D649" s="16"/>
      <c r="E649" s="16"/>
      <c r="F649" s="17"/>
      <c r="H649" s="18"/>
    </row>
    <row r="650" spans="4:8" ht="13.2" x14ac:dyDescent="0.25">
      <c r="D650" s="16"/>
      <c r="E650" s="16"/>
      <c r="F650" s="17"/>
      <c r="H650" s="18"/>
    </row>
    <row r="651" spans="4:8" ht="13.2" x14ac:dyDescent="0.25">
      <c r="D651" s="16"/>
      <c r="E651" s="16"/>
      <c r="F651" s="17"/>
      <c r="H651" s="18"/>
    </row>
    <row r="652" spans="4:8" ht="13.2" x14ac:dyDescent="0.25">
      <c r="D652" s="16"/>
      <c r="E652" s="16"/>
      <c r="F652" s="17"/>
      <c r="H652" s="18"/>
    </row>
    <row r="653" spans="4:8" ht="13.2" x14ac:dyDescent="0.25">
      <c r="D653" s="16"/>
      <c r="E653" s="16"/>
      <c r="F653" s="17"/>
      <c r="H653" s="18"/>
    </row>
    <row r="654" spans="4:8" ht="13.2" x14ac:dyDescent="0.25">
      <c r="D654" s="16"/>
      <c r="E654" s="16"/>
      <c r="F654" s="17"/>
      <c r="H654" s="18"/>
    </row>
    <row r="655" spans="4:8" ht="13.2" x14ac:dyDescent="0.25">
      <c r="D655" s="16"/>
      <c r="E655" s="16"/>
      <c r="F655" s="17"/>
      <c r="H655" s="18"/>
    </row>
    <row r="656" spans="4:8" ht="13.2" x14ac:dyDescent="0.25">
      <c r="D656" s="16"/>
      <c r="E656" s="16"/>
      <c r="F656" s="17"/>
      <c r="H656" s="18"/>
    </row>
    <row r="657" spans="4:8" ht="13.2" x14ac:dyDescent="0.25">
      <c r="D657" s="16"/>
      <c r="E657" s="16"/>
      <c r="F657" s="17"/>
      <c r="H657" s="18"/>
    </row>
    <row r="658" spans="4:8" ht="13.2" x14ac:dyDescent="0.25">
      <c r="D658" s="16"/>
      <c r="E658" s="16"/>
      <c r="F658" s="17"/>
      <c r="H658" s="18"/>
    </row>
    <row r="659" spans="4:8" ht="13.2" x14ac:dyDescent="0.25">
      <c r="D659" s="16"/>
      <c r="E659" s="16"/>
      <c r="F659" s="17"/>
      <c r="H659" s="18"/>
    </row>
    <row r="660" spans="4:8" ht="13.2" x14ac:dyDescent="0.25">
      <c r="D660" s="16"/>
      <c r="E660" s="16"/>
      <c r="F660" s="17"/>
      <c r="H660" s="18"/>
    </row>
    <row r="661" spans="4:8" ht="13.2" x14ac:dyDescent="0.25">
      <c r="D661" s="16"/>
      <c r="E661" s="16"/>
      <c r="F661" s="17"/>
      <c r="H661" s="18"/>
    </row>
    <row r="662" spans="4:8" ht="13.2" x14ac:dyDescent="0.25">
      <c r="D662" s="16"/>
      <c r="E662" s="16"/>
      <c r="F662" s="17"/>
      <c r="H662" s="18"/>
    </row>
    <row r="663" spans="4:8" ht="13.2" x14ac:dyDescent="0.25">
      <c r="D663" s="16"/>
      <c r="E663" s="16"/>
      <c r="F663" s="17"/>
      <c r="H663" s="18"/>
    </row>
    <row r="664" spans="4:8" ht="13.2" x14ac:dyDescent="0.25">
      <c r="D664" s="16"/>
      <c r="E664" s="16"/>
      <c r="F664" s="17"/>
      <c r="H664" s="18"/>
    </row>
    <row r="665" spans="4:8" ht="13.2" x14ac:dyDescent="0.25">
      <c r="D665" s="16"/>
      <c r="E665" s="16"/>
      <c r="F665" s="17"/>
      <c r="H665" s="18"/>
    </row>
    <row r="666" spans="4:8" ht="13.2" x14ac:dyDescent="0.25">
      <c r="D666" s="16"/>
      <c r="E666" s="16"/>
      <c r="F666" s="17"/>
      <c r="H666" s="18"/>
    </row>
    <row r="667" spans="4:8" ht="13.2" x14ac:dyDescent="0.25">
      <c r="D667" s="16"/>
      <c r="E667" s="16"/>
      <c r="F667" s="17"/>
      <c r="H667" s="18"/>
    </row>
    <row r="668" spans="4:8" ht="13.2" x14ac:dyDescent="0.25">
      <c r="D668" s="16"/>
      <c r="E668" s="16"/>
      <c r="F668" s="17"/>
      <c r="H668" s="18"/>
    </row>
    <row r="669" spans="4:8" ht="13.2" x14ac:dyDescent="0.25">
      <c r="D669" s="16"/>
      <c r="E669" s="16"/>
      <c r="F669" s="17"/>
      <c r="H669" s="18"/>
    </row>
    <row r="670" spans="4:8" ht="13.2" x14ac:dyDescent="0.25">
      <c r="D670" s="16"/>
      <c r="E670" s="16"/>
      <c r="F670" s="17"/>
      <c r="H670" s="18"/>
    </row>
    <row r="671" spans="4:8" ht="13.2" x14ac:dyDescent="0.25">
      <c r="D671" s="16"/>
      <c r="E671" s="16"/>
      <c r="F671" s="17"/>
      <c r="H671" s="18"/>
    </row>
    <row r="672" spans="4:8" ht="13.2" x14ac:dyDescent="0.25">
      <c r="D672" s="16"/>
      <c r="E672" s="16"/>
      <c r="F672" s="17"/>
      <c r="H672" s="18"/>
    </row>
    <row r="673" spans="4:8" ht="13.2" x14ac:dyDescent="0.25">
      <c r="D673" s="16"/>
      <c r="E673" s="16"/>
      <c r="F673" s="17"/>
      <c r="H673" s="18"/>
    </row>
    <row r="674" spans="4:8" ht="13.2" x14ac:dyDescent="0.25">
      <c r="D674" s="16"/>
      <c r="E674" s="16"/>
      <c r="F674" s="17"/>
      <c r="H674" s="18"/>
    </row>
    <row r="675" spans="4:8" ht="13.2" x14ac:dyDescent="0.25">
      <c r="D675" s="16"/>
      <c r="E675" s="16"/>
      <c r="F675" s="17"/>
      <c r="H675" s="18"/>
    </row>
    <row r="676" spans="4:8" ht="13.2" x14ac:dyDescent="0.25">
      <c r="D676" s="16"/>
      <c r="E676" s="16"/>
      <c r="F676" s="17"/>
      <c r="H676" s="18"/>
    </row>
    <row r="677" spans="4:8" ht="13.2" x14ac:dyDescent="0.25">
      <c r="D677" s="16"/>
      <c r="E677" s="16"/>
      <c r="F677" s="17"/>
      <c r="H677" s="18"/>
    </row>
    <row r="678" spans="4:8" ht="13.2" x14ac:dyDescent="0.25">
      <c r="D678" s="16"/>
      <c r="E678" s="16"/>
      <c r="F678" s="17"/>
      <c r="H678" s="18"/>
    </row>
    <row r="679" spans="4:8" ht="13.2" x14ac:dyDescent="0.25">
      <c r="D679" s="16"/>
      <c r="E679" s="16"/>
      <c r="F679" s="17"/>
      <c r="H679" s="18"/>
    </row>
    <row r="680" spans="4:8" ht="13.2" x14ac:dyDescent="0.25">
      <c r="D680" s="16"/>
      <c r="E680" s="16"/>
      <c r="F680" s="17"/>
      <c r="H680" s="18"/>
    </row>
    <row r="681" spans="4:8" ht="13.2" x14ac:dyDescent="0.25">
      <c r="D681" s="16"/>
      <c r="E681" s="16"/>
      <c r="F681" s="17"/>
      <c r="H681" s="18"/>
    </row>
    <row r="682" spans="4:8" ht="13.2" x14ac:dyDescent="0.25">
      <c r="D682" s="16"/>
      <c r="E682" s="16"/>
      <c r="F682" s="17"/>
      <c r="H682" s="18"/>
    </row>
    <row r="683" spans="4:8" ht="13.2" x14ac:dyDescent="0.25">
      <c r="D683" s="16"/>
      <c r="E683" s="16"/>
      <c r="F683" s="17"/>
      <c r="H683" s="18"/>
    </row>
    <row r="684" spans="4:8" ht="13.2" x14ac:dyDescent="0.25">
      <c r="D684" s="16"/>
      <c r="E684" s="16"/>
      <c r="F684" s="17"/>
      <c r="H684" s="18"/>
    </row>
    <row r="685" spans="4:8" ht="13.2" x14ac:dyDescent="0.25">
      <c r="D685" s="16"/>
      <c r="E685" s="16"/>
      <c r="F685" s="17"/>
      <c r="H685" s="18"/>
    </row>
    <row r="686" spans="4:8" ht="13.2" x14ac:dyDescent="0.25">
      <c r="D686" s="16"/>
      <c r="E686" s="16"/>
      <c r="F686" s="17"/>
      <c r="H686" s="18"/>
    </row>
    <row r="687" spans="4:8" ht="13.2" x14ac:dyDescent="0.25">
      <c r="D687" s="16"/>
      <c r="E687" s="16"/>
      <c r="F687" s="17"/>
      <c r="H687" s="18"/>
    </row>
    <row r="688" spans="4:8" ht="13.2" x14ac:dyDescent="0.25">
      <c r="D688" s="16"/>
      <c r="E688" s="16"/>
      <c r="F688" s="17"/>
      <c r="H688" s="18"/>
    </row>
    <row r="689" spans="4:8" ht="13.2" x14ac:dyDescent="0.25">
      <c r="D689" s="16"/>
      <c r="E689" s="16"/>
      <c r="F689" s="17"/>
      <c r="H689" s="18"/>
    </row>
    <row r="690" spans="4:8" ht="13.2" x14ac:dyDescent="0.25">
      <c r="D690" s="16"/>
      <c r="E690" s="16"/>
      <c r="F690" s="17"/>
      <c r="H690" s="18"/>
    </row>
    <row r="691" spans="4:8" ht="13.2" x14ac:dyDescent="0.25">
      <c r="D691" s="16"/>
      <c r="E691" s="16"/>
      <c r="F691" s="17"/>
      <c r="H691" s="18"/>
    </row>
    <row r="692" spans="4:8" ht="13.2" x14ac:dyDescent="0.25">
      <c r="D692" s="16"/>
      <c r="E692" s="16"/>
      <c r="F692" s="17"/>
      <c r="H692" s="18"/>
    </row>
    <row r="693" spans="4:8" ht="13.2" x14ac:dyDescent="0.25">
      <c r="D693" s="16"/>
      <c r="E693" s="16"/>
      <c r="F693" s="17"/>
      <c r="H693" s="18"/>
    </row>
    <row r="694" spans="4:8" ht="13.2" x14ac:dyDescent="0.25">
      <c r="D694" s="16"/>
      <c r="E694" s="16"/>
      <c r="F694" s="17"/>
      <c r="H694" s="18"/>
    </row>
    <row r="695" spans="4:8" ht="13.2" x14ac:dyDescent="0.25">
      <c r="D695" s="16"/>
      <c r="E695" s="16"/>
      <c r="F695" s="17"/>
      <c r="H695" s="18"/>
    </row>
    <row r="696" spans="4:8" ht="13.2" x14ac:dyDescent="0.25">
      <c r="D696" s="16"/>
      <c r="E696" s="16"/>
      <c r="F696" s="17"/>
      <c r="H696" s="18"/>
    </row>
    <row r="697" spans="4:8" ht="13.2" x14ac:dyDescent="0.25">
      <c r="D697" s="16"/>
      <c r="E697" s="16"/>
      <c r="F697" s="17"/>
      <c r="H697" s="18"/>
    </row>
    <row r="698" spans="4:8" ht="13.2" x14ac:dyDescent="0.25">
      <c r="D698" s="16"/>
      <c r="E698" s="16"/>
      <c r="F698" s="17"/>
      <c r="H698" s="18"/>
    </row>
    <row r="699" spans="4:8" ht="13.2" x14ac:dyDescent="0.25">
      <c r="D699" s="16"/>
      <c r="E699" s="16"/>
      <c r="F699" s="17"/>
      <c r="H699" s="18"/>
    </row>
    <row r="700" spans="4:8" ht="13.2" x14ac:dyDescent="0.25">
      <c r="D700" s="16"/>
      <c r="E700" s="16"/>
      <c r="F700" s="17"/>
      <c r="H700" s="18"/>
    </row>
    <row r="701" spans="4:8" ht="13.2" x14ac:dyDescent="0.25">
      <c r="D701" s="16"/>
      <c r="E701" s="16"/>
      <c r="F701" s="17"/>
      <c r="H701" s="18"/>
    </row>
    <row r="702" spans="4:8" ht="13.2" x14ac:dyDescent="0.25">
      <c r="D702" s="16"/>
      <c r="E702" s="16"/>
      <c r="F702" s="17"/>
      <c r="H702" s="18"/>
    </row>
    <row r="703" spans="4:8" ht="13.2" x14ac:dyDescent="0.25">
      <c r="D703" s="16"/>
      <c r="E703" s="16"/>
      <c r="F703" s="17"/>
      <c r="H703" s="18"/>
    </row>
    <row r="704" spans="4:8" ht="13.2" x14ac:dyDescent="0.25">
      <c r="D704" s="16"/>
      <c r="E704" s="16"/>
      <c r="F704" s="17"/>
      <c r="H704" s="18"/>
    </row>
    <row r="705" spans="4:8" ht="13.2" x14ac:dyDescent="0.25">
      <c r="D705" s="16"/>
      <c r="E705" s="16"/>
      <c r="F705" s="17"/>
      <c r="H705" s="18"/>
    </row>
    <row r="706" spans="4:8" ht="13.2" x14ac:dyDescent="0.25">
      <c r="D706" s="16"/>
      <c r="E706" s="16"/>
      <c r="F706" s="17"/>
      <c r="H706" s="18"/>
    </row>
    <row r="707" spans="4:8" ht="13.2" x14ac:dyDescent="0.25">
      <c r="D707" s="16"/>
      <c r="E707" s="16"/>
      <c r="F707" s="17"/>
      <c r="H707" s="18"/>
    </row>
    <row r="708" spans="4:8" ht="13.2" x14ac:dyDescent="0.25">
      <c r="D708" s="16"/>
      <c r="E708" s="16"/>
      <c r="F708" s="17"/>
      <c r="H708" s="18"/>
    </row>
    <row r="709" spans="4:8" ht="13.2" x14ac:dyDescent="0.25">
      <c r="D709" s="16"/>
      <c r="E709" s="16"/>
      <c r="F709" s="17"/>
      <c r="H709" s="18"/>
    </row>
    <row r="710" spans="4:8" ht="13.2" x14ac:dyDescent="0.25">
      <c r="D710" s="16"/>
      <c r="E710" s="16"/>
      <c r="F710" s="17"/>
      <c r="H710" s="18"/>
    </row>
    <row r="711" spans="4:8" ht="13.2" x14ac:dyDescent="0.25">
      <c r="D711" s="16"/>
      <c r="E711" s="16"/>
      <c r="F711" s="17"/>
      <c r="H711" s="18"/>
    </row>
    <row r="712" spans="4:8" ht="13.2" x14ac:dyDescent="0.25">
      <c r="D712" s="16"/>
      <c r="E712" s="16"/>
      <c r="F712" s="17"/>
      <c r="H712" s="18"/>
    </row>
    <row r="713" spans="4:8" ht="13.2" x14ac:dyDescent="0.25">
      <c r="D713" s="16"/>
      <c r="E713" s="16"/>
      <c r="F713" s="17"/>
      <c r="H713" s="18"/>
    </row>
    <row r="714" spans="4:8" ht="13.2" x14ac:dyDescent="0.25">
      <c r="D714" s="16"/>
      <c r="E714" s="16"/>
      <c r="F714" s="17"/>
      <c r="H714" s="18"/>
    </row>
    <row r="715" spans="4:8" ht="13.2" x14ac:dyDescent="0.25">
      <c r="D715" s="16"/>
      <c r="E715" s="16"/>
      <c r="F715" s="17"/>
      <c r="H715" s="18"/>
    </row>
    <row r="716" spans="4:8" ht="13.2" x14ac:dyDescent="0.25">
      <c r="D716" s="16"/>
      <c r="E716" s="16"/>
      <c r="F716" s="17"/>
      <c r="H716" s="18"/>
    </row>
    <row r="717" spans="4:8" ht="13.2" x14ac:dyDescent="0.25">
      <c r="D717" s="16"/>
      <c r="E717" s="16"/>
      <c r="F717" s="17"/>
      <c r="H717" s="18"/>
    </row>
    <row r="718" spans="4:8" ht="13.2" x14ac:dyDescent="0.25">
      <c r="D718" s="16"/>
      <c r="E718" s="16"/>
      <c r="F718" s="17"/>
      <c r="H718" s="18"/>
    </row>
    <row r="719" spans="4:8" ht="13.2" x14ac:dyDescent="0.25">
      <c r="D719" s="16"/>
      <c r="E719" s="16"/>
      <c r="F719" s="17"/>
      <c r="H719" s="18"/>
    </row>
    <row r="720" spans="4:8" ht="13.2" x14ac:dyDescent="0.25">
      <c r="D720" s="16"/>
      <c r="E720" s="16"/>
      <c r="F720" s="17"/>
      <c r="H720" s="18"/>
    </row>
    <row r="721" spans="4:8" ht="13.2" x14ac:dyDescent="0.25">
      <c r="D721" s="16"/>
      <c r="E721" s="16"/>
      <c r="F721" s="17"/>
      <c r="H721" s="18"/>
    </row>
    <row r="722" spans="4:8" ht="13.2" x14ac:dyDescent="0.25">
      <c r="D722" s="16"/>
      <c r="E722" s="16"/>
      <c r="F722" s="17"/>
      <c r="H722" s="18"/>
    </row>
    <row r="723" spans="4:8" ht="13.2" x14ac:dyDescent="0.25">
      <c r="D723" s="16"/>
      <c r="E723" s="16"/>
      <c r="F723" s="17"/>
      <c r="H723" s="18"/>
    </row>
    <row r="724" spans="4:8" ht="13.2" x14ac:dyDescent="0.25">
      <c r="D724" s="16"/>
      <c r="E724" s="16"/>
      <c r="F724" s="17"/>
      <c r="H724" s="18"/>
    </row>
    <row r="725" spans="4:8" ht="13.2" x14ac:dyDescent="0.25">
      <c r="D725" s="16"/>
      <c r="E725" s="16"/>
      <c r="F725" s="17"/>
      <c r="H725" s="18"/>
    </row>
    <row r="726" spans="4:8" ht="13.2" x14ac:dyDescent="0.25">
      <c r="D726" s="16"/>
      <c r="E726" s="16"/>
      <c r="F726" s="17"/>
      <c r="H726" s="18"/>
    </row>
    <row r="727" spans="4:8" ht="13.2" x14ac:dyDescent="0.25">
      <c r="D727" s="16"/>
      <c r="E727" s="16"/>
      <c r="F727" s="17"/>
      <c r="H727" s="18"/>
    </row>
    <row r="728" spans="4:8" ht="13.2" x14ac:dyDescent="0.25">
      <c r="D728" s="16"/>
      <c r="E728" s="16"/>
      <c r="F728" s="17"/>
      <c r="H728" s="18"/>
    </row>
    <row r="729" spans="4:8" ht="13.2" x14ac:dyDescent="0.25">
      <c r="D729" s="16"/>
      <c r="E729" s="16"/>
      <c r="F729" s="17"/>
      <c r="H729" s="18"/>
    </row>
    <row r="730" spans="4:8" ht="13.2" x14ac:dyDescent="0.25">
      <c r="D730" s="16"/>
      <c r="E730" s="16"/>
      <c r="F730" s="17"/>
      <c r="H730" s="18"/>
    </row>
    <row r="731" spans="4:8" ht="13.2" x14ac:dyDescent="0.25">
      <c r="D731" s="16"/>
      <c r="E731" s="16"/>
      <c r="F731" s="17"/>
      <c r="H731" s="18"/>
    </row>
    <row r="732" spans="4:8" ht="13.2" x14ac:dyDescent="0.25">
      <c r="D732" s="16"/>
      <c r="E732" s="16"/>
      <c r="F732" s="17"/>
      <c r="H732" s="18"/>
    </row>
    <row r="733" spans="4:8" ht="13.2" x14ac:dyDescent="0.25">
      <c r="D733" s="16"/>
      <c r="E733" s="16"/>
      <c r="F733" s="17"/>
      <c r="H733" s="18"/>
    </row>
    <row r="734" spans="4:8" ht="13.2" x14ac:dyDescent="0.25">
      <c r="D734" s="16"/>
      <c r="E734" s="16"/>
      <c r="F734" s="17"/>
      <c r="H734" s="18"/>
    </row>
    <row r="735" spans="4:8" ht="13.2" x14ac:dyDescent="0.25">
      <c r="D735" s="16"/>
      <c r="E735" s="16"/>
      <c r="F735" s="17"/>
      <c r="H735" s="18"/>
    </row>
    <row r="736" spans="4:8" ht="13.2" x14ac:dyDescent="0.25">
      <c r="D736" s="16"/>
      <c r="E736" s="16"/>
      <c r="F736" s="17"/>
      <c r="H736" s="18"/>
    </row>
    <row r="737" spans="4:8" ht="13.2" x14ac:dyDescent="0.25">
      <c r="D737" s="16"/>
      <c r="E737" s="16"/>
      <c r="F737" s="17"/>
      <c r="H737" s="18"/>
    </row>
    <row r="738" spans="4:8" ht="13.2" x14ac:dyDescent="0.25">
      <c r="D738" s="16"/>
      <c r="E738" s="16"/>
      <c r="F738" s="17"/>
      <c r="H738" s="18"/>
    </row>
    <row r="739" spans="4:8" ht="13.2" x14ac:dyDescent="0.25">
      <c r="D739" s="16"/>
      <c r="E739" s="16"/>
      <c r="F739" s="17"/>
      <c r="H739" s="18"/>
    </row>
    <row r="740" spans="4:8" ht="13.2" x14ac:dyDescent="0.25">
      <c r="D740" s="16"/>
      <c r="E740" s="16"/>
      <c r="F740" s="17"/>
      <c r="H740" s="18"/>
    </row>
    <row r="741" spans="4:8" ht="13.2" x14ac:dyDescent="0.25">
      <c r="D741" s="16"/>
      <c r="E741" s="16"/>
      <c r="F741" s="17"/>
      <c r="H741" s="18"/>
    </row>
    <row r="742" spans="4:8" ht="13.2" x14ac:dyDescent="0.25">
      <c r="D742" s="16"/>
      <c r="E742" s="16"/>
      <c r="F742" s="17"/>
      <c r="H742" s="18"/>
    </row>
    <row r="743" spans="4:8" ht="13.2" x14ac:dyDescent="0.25">
      <c r="D743" s="16"/>
      <c r="E743" s="16"/>
      <c r="F743" s="17"/>
      <c r="H743" s="18"/>
    </row>
    <row r="744" spans="4:8" ht="13.2" x14ac:dyDescent="0.25">
      <c r="D744" s="16"/>
      <c r="E744" s="16"/>
      <c r="F744" s="17"/>
      <c r="H744" s="18"/>
    </row>
    <row r="745" spans="4:8" ht="13.2" x14ac:dyDescent="0.25">
      <c r="D745" s="16"/>
      <c r="E745" s="16"/>
      <c r="F745" s="17"/>
      <c r="H745" s="18"/>
    </row>
    <row r="746" spans="4:8" ht="13.2" x14ac:dyDescent="0.25">
      <c r="D746" s="16"/>
      <c r="E746" s="16"/>
      <c r="F746" s="17"/>
      <c r="H746" s="18"/>
    </row>
    <row r="747" spans="4:8" ht="13.2" x14ac:dyDescent="0.25">
      <c r="D747" s="16"/>
      <c r="E747" s="16"/>
      <c r="F747" s="17"/>
      <c r="H747" s="18"/>
    </row>
    <row r="748" spans="4:8" ht="13.2" x14ac:dyDescent="0.25">
      <c r="D748" s="16"/>
      <c r="E748" s="16"/>
      <c r="F748" s="17"/>
      <c r="H748" s="18"/>
    </row>
    <row r="749" spans="4:8" ht="13.2" x14ac:dyDescent="0.25">
      <c r="D749" s="16"/>
      <c r="E749" s="16"/>
      <c r="F749" s="17"/>
      <c r="H749" s="18"/>
    </row>
    <row r="750" spans="4:8" ht="13.2" x14ac:dyDescent="0.25">
      <c r="D750" s="16"/>
      <c r="E750" s="16"/>
      <c r="F750" s="17"/>
      <c r="H750" s="18"/>
    </row>
    <row r="751" spans="4:8" ht="13.2" x14ac:dyDescent="0.25">
      <c r="D751" s="16"/>
      <c r="E751" s="16"/>
      <c r="F751" s="17"/>
      <c r="H751" s="18"/>
    </row>
    <row r="752" spans="4:8" ht="13.2" x14ac:dyDescent="0.25">
      <c r="D752" s="16"/>
      <c r="E752" s="16"/>
      <c r="F752" s="17"/>
      <c r="H752" s="18"/>
    </row>
    <row r="753" spans="4:8" ht="13.2" x14ac:dyDescent="0.25">
      <c r="D753" s="16"/>
      <c r="E753" s="16"/>
      <c r="F753" s="17"/>
      <c r="H753" s="18"/>
    </row>
    <row r="754" spans="4:8" ht="13.2" x14ac:dyDescent="0.25">
      <c r="D754" s="16"/>
      <c r="E754" s="16"/>
      <c r="F754" s="17"/>
      <c r="H754" s="18"/>
    </row>
    <row r="755" spans="4:8" ht="13.2" x14ac:dyDescent="0.25">
      <c r="D755" s="16"/>
      <c r="E755" s="16"/>
      <c r="F755" s="17"/>
      <c r="H755" s="18"/>
    </row>
    <row r="756" spans="4:8" ht="13.2" x14ac:dyDescent="0.25">
      <c r="D756" s="16"/>
      <c r="E756" s="16"/>
      <c r="F756" s="17"/>
      <c r="H756" s="18"/>
    </row>
    <row r="757" spans="4:8" ht="13.2" x14ac:dyDescent="0.25">
      <c r="D757" s="16"/>
      <c r="E757" s="16"/>
      <c r="F757" s="17"/>
      <c r="H757" s="18"/>
    </row>
    <row r="758" spans="4:8" ht="13.2" x14ac:dyDescent="0.25">
      <c r="D758" s="16"/>
      <c r="E758" s="16"/>
      <c r="F758" s="17"/>
      <c r="H758" s="18"/>
    </row>
    <row r="759" spans="4:8" ht="13.2" x14ac:dyDescent="0.25">
      <c r="D759" s="16"/>
      <c r="E759" s="16"/>
      <c r="F759" s="17"/>
      <c r="H759" s="18"/>
    </row>
    <row r="760" spans="4:8" ht="13.2" x14ac:dyDescent="0.25">
      <c r="D760" s="16"/>
      <c r="E760" s="16"/>
      <c r="F760" s="17"/>
      <c r="H760" s="18"/>
    </row>
    <row r="761" spans="4:8" ht="13.2" x14ac:dyDescent="0.25">
      <c r="D761" s="16"/>
      <c r="E761" s="16"/>
      <c r="F761" s="17"/>
      <c r="H761" s="18"/>
    </row>
    <row r="762" spans="4:8" ht="13.2" x14ac:dyDescent="0.25">
      <c r="D762" s="16"/>
      <c r="E762" s="16"/>
      <c r="F762" s="17"/>
      <c r="H762" s="18"/>
    </row>
    <row r="763" spans="4:8" ht="13.2" x14ac:dyDescent="0.25">
      <c r="D763" s="16"/>
      <c r="E763" s="16"/>
      <c r="F763" s="17"/>
      <c r="H763" s="18"/>
    </row>
    <row r="764" spans="4:8" ht="13.2" x14ac:dyDescent="0.25">
      <c r="D764" s="16"/>
      <c r="E764" s="16"/>
      <c r="F764" s="17"/>
      <c r="H764" s="18"/>
    </row>
    <row r="765" spans="4:8" ht="13.2" x14ac:dyDescent="0.25">
      <c r="D765" s="16"/>
      <c r="E765" s="16"/>
      <c r="F765" s="17"/>
      <c r="H765" s="18"/>
    </row>
    <row r="766" spans="4:8" ht="13.2" x14ac:dyDescent="0.25">
      <c r="D766" s="16"/>
      <c r="E766" s="16"/>
      <c r="F766" s="17"/>
      <c r="H766" s="18"/>
    </row>
    <row r="767" spans="4:8" ht="13.2" x14ac:dyDescent="0.25">
      <c r="D767" s="16"/>
      <c r="E767" s="16"/>
      <c r="F767" s="17"/>
      <c r="H767" s="18"/>
    </row>
    <row r="768" spans="4:8" ht="13.2" x14ac:dyDescent="0.25">
      <c r="D768" s="16"/>
      <c r="E768" s="16"/>
      <c r="F768" s="17"/>
      <c r="H768" s="18"/>
    </row>
    <row r="769" spans="4:8" ht="13.2" x14ac:dyDescent="0.25">
      <c r="D769" s="16"/>
      <c r="E769" s="16"/>
      <c r="F769" s="17"/>
      <c r="H769" s="18"/>
    </row>
    <row r="770" spans="4:8" ht="13.2" x14ac:dyDescent="0.25">
      <c r="D770" s="16"/>
      <c r="E770" s="16"/>
      <c r="F770" s="17"/>
      <c r="H770" s="18"/>
    </row>
    <row r="771" spans="4:8" ht="13.2" x14ac:dyDescent="0.25">
      <c r="D771" s="16"/>
      <c r="E771" s="16"/>
      <c r="F771" s="17"/>
      <c r="H771" s="18"/>
    </row>
    <row r="772" spans="4:8" ht="13.2" x14ac:dyDescent="0.25">
      <c r="D772" s="16"/>
      <c r="E772" s="16"/>
      <c r="F772" s="17"/>
      <c r="H772" s="18"/>
    </row>
    <row r="773" spans="4:8" ht="13.2" x14ac:dyDescent="0.25">
      <c r="D773" s="16"/>
      <c r="E773" s="16"/>
      <c r="F773" s="17"/>
      <c r="H773" s="18"/>
    </row>
    <row r="774" spans="4:8" ht="13.2" x14ac:dyDescent="0.25">
      <c r="D774" s="16"/>
      <c r="E774" s="16"/>
      <c r="F774" s="17"/>
      <c r="H774" s="18"/>
    </row>
    <row r="775" spans="4:8" ht="13.2" x14ac:dyDescent="0.25">
      <c r="D775" s="16"/>
      <c r="E775" s="16"/>
      <c r="F775" s="17"/>
      <c r="H775" s="18"/>
    </row>
    <row r="776" spans="4:8" ht="13.2" x14ac:dyDescent="0.25">
      <c r="D776" s="16"/>
      <c r="E776" s="16"/>
      <c r="F776" s="17"/>
      <c r="H776" s="18"/>
    </row>
    <row r="777" spans="4:8" ht="13.2" x14ac:dyDescent="0.25">
      <c r="D777" s="16"/>
      <c r="E777" s="16"/>
      <c r="F777" s="17"/>
      <c r="H777" s="18"/>
    </row>
    <row r="778" spans="4:8" ht="13.2" x14ac:dyDescent="0.25">
      <c r="D778" s="16"/>
      <c r="E778" s="16"/>
      <c r="F778" s="17"/>
      <c r="H778" s="18"/>
    </row>
    <row r="779" spans="4:8" ht="13.2" x14ac:dyDescent="0.25">
      <c r="D779" s="16"/>
      <c r="E779" s="16"/>
      <c r="F779" s="17"/>
      <c r="H779" s="18"/>
    </row>
    <row r="780" spans="4:8" ht="13.2" x14ac:dyDescent="0.25">
      <c r="D780" s="16"/>
      <c r="E780" s="16"/>
      <c r="F780" s="17"/>
      <c r="H780" s="18"/>
    </row>
    <row r="781" spans="4:8" ht="13.2" x14ac:dyDescent="0.25">
      <c r="D781" s="16"/>
      <c r="E781" s="16"/>
      <c r="F781" s="17"/>
      <c r="H781" s="18"/>
    </row>
    <row r="782" spans="4:8" ht="13.2" x14ac:dyDescent="0.25">
      <c r="D782" s="16"/>
      <c r="E782" s="16"/>
      <c r="F782" s="17"/>
      <c r="H782" s="18"/>
    </row>
    <row r="783" spans="4:8" ht="13.2" x14ac:dyDescent="0.25">
      <c r="D783" s="16"/>
      <c r="E783" s="16"/>
      <c r="F783" s="17"/>
      <c r="H783" s="18"/>
    </row>
    <row r="784" spans="4:8" ht="13.2" x14ac:dyDescent="0.25">
      <c r="D784" s="16"/>
      <c r="E784" s="16"/>
      <c r="F784" s="17"/>
      <c r="H784" s="18"/>
    </row>
    <row r="785" spans="4:8" ht="13.2" x14ac:dyDescent="0.25">
      <c r="D785" s="16"/>
      <c r="E785" s="16"/>
      <c r="F785" s="17"/>
      <c r="H785" s="18"/>
    </row>
    <row r="786" spans="4:8" ht="13.2" x14ac:dyDescent="0.25">
      <c r="D786" s="16"/>
      <c r="E786" s="16"/>
      <c r="F786" s="17"/>
      <c r="H786" s="18"/>
    </row>
    <row r="787" spans="4:8" ht="13.2" x14ac:dyDescent="0.25">
      <c r="D787" s="16"/>
      <c r="E787" s="16"/>
      <c r="F787" s="17"/>
      <c r="H787" s="18"/>
    </row>
    <row r="788" spans="4:8" ht="13.2" x14ac:dyDescent="0.25">
      <c r="D788" s="16"/>
      <c r="E788" s="16"/>
      <c r="F788" s="17"/>
      <c r="H788" s="18"/>
    </row>
    <row r="789" spans="4:8" ht="13.2" x14ac:dyDescent="0.25">
      <c r="D789" s="16"/>
      <c r="E789" s="16"/>
      <c r="F789" s="17"/>
      <c r="H789" s="18"/>
    </row>
    <row r="790" spans="4:8" ht="13.2" x14ac:dyDescent="0.25">
      <c r="D790" s="16"/>
      <c r="E790" s="16"/>
      <c r="F790" s="17"/>
      <c r="H790" s="18"/>
    </row>
    <row r="791" spans="4:8" ht="13.2" x14ac:dyDescent="0.25">
      <c r="D791" s="16"/>
      <c r="E791" s="16"/>
      <c r="F791" s="17"/>
      <c r="H791" s="18"/>
    </row>
    <row r="792" spans="4:8" ht="13.2" x14ac:dyDescent="0.25">
      <c r="D792" s="16"/>
      <c r="E792" s="16"/>
      <c r="F792" s="17"/>
      <c r="H792" s="18"/>
    </row>
    <row r="793" spans="4:8" ht="13.2" x14ac:dyDescent="0.25">
      <c r="D793" s="16"/>
      <c r="E793" s="16"/>
      <c r="F793" s="17"/>
      <c r="H793" s="18"/>
    </row>
    <row r="794" spans="4:8" ht="13.2" x14ac:dyDescent="0.25">
      <c r="D794" s="16"/>
      <c r="E794" s="16"/>
      <c r="F794" s="17"/>
      <c r="H794" s="18"/>
    </row>
    <row r="795" spans="4:8" ht="13.2" x14ac:dyDescent="0.25">
      <c r="D795" s="16"/>
      <c r="E795" s="16"/>
      <c r="F795" s="17"/>
      <c r="H795" s="18"/>
    </row>
    <row r="796" spans="4:8" ht="13.2" x14ac:dyDescent="0.25">
      <c r="D796" s="16"/>
      <c r="E796" s="16"/>
      <c r="F796" s="17"/>
      <c r="H796" s="18"/>
    </row>
    <row r="797" spans="4:8" ht="13.2" x14ac:dyDescent="0.25">
      <c r="D797" s="16"/>
      <c r="E797" s="16"/>
      <c r="F797" s="17"/>
      <c r="H797" s="18"/>
    </row>
    <row r="798" spans="4:8" ht="13.2" x14ac:dyDescent="0.25">
      <c r="D798" s="16"/>
      <c r="E798" s="16"/>
      <c r="F798" s="17"/>
      <c r="H798" s="18"/>
    </row>
    <row r="799" spans="4:8" ht="13.2" x14ac:dyDescent="0.25">
      <c r="D799" s="16"/>
      <c r="E799" s="16"/>
      <c r="F799" s="17"/>
      <c r="H799" s="18"/>
    </row>
    <row r="800" spans="4:8" ht="13.2" x14ac:dyDescent="0.25">
      <c r="D800" s="16"/>
      <c r="E800" s="16"/>
      <c r="F800" s="17"/>
      <c r="H800" s="18"/>
    </row>
    <row r="801" spans="4:8" ht="13.2" x14ac:dyDescent="0.25">
      <c r="D801" s="16"/>
      <c r="E801" s="16"/>
      <c r="F801" s="17"/>
      <c r="H801" s="18"/>
    </row>
    <row r="802" spans="4:8" ht="13.2" x14ac:dyDescent="0.25">
      <c r="D802" s="16"/>
      <c r="E802" s="16"/>
      <c r="F802" s="17"/>
      <c r="H802" s="18"/>
    </row>
    <row r="803" spans="4:8" ht="13.2" x14ac:dyDescent="0.25">
      <c r="D803" s="16"/>
      <c r="E803" s="16"/>
      <c r="F803" s="17"/>
      <c r="H803" s="18"/>
    </row>
    <row r="804" spans="4:8" ht="13.2" x14ac:dyDescent="0.25">
      <c r="D804" s="16"/>
      <c r="E804" s="16"/>
      <c r="F804" s="17"/>
      <c r="H804" s="18"/>
    </row>
    <row r="805" spans="4:8" ht="13.2" x14ac:dyDescent="0.25">
      <c r="D805" s="16"/>
      <c r="E805" s="16"/>
      <c r="F805" s="17"/>
      <c r="H805" s="18"/>
    </row>
    <row r="806" spans="4:8" ht="13.2" x14ac:dyDescent="0.25">
      <c r="D806" s="16"/>
      <c r="E806" s="16"/>
      <c r="F806" s="17"/>
      <c r="H806" s="18"/>
    </row>
    <row r="807" spans="4:8" ht="13.2" x14ac:dyDescent="0.25">
      <c r="D807" s="16"/>
      <c r="E807" s="16"/>
      <c r="F807" s="17"/>
      <c r="H807" s="18"/>
    </row>
    <row r="808" spans="4:8" ht="13.2" x14ac:dyDescent="0.25">
      <c r="D808" s="16"/>
      <c r="E808" s="16"/>
      <c r="F808" s="17"/>
      <c r="H808" s="18"/>
    </row>
    <row r="809" spans="4:8" ht="13.2" x14ac:dyDescent="0.25">
      <c r="D809" s="16"/>
      <c r="E809" s="16"/>
      <c r="F809" s="17"/>
      <c r="H809" s="18"/>
    </row>
    <row r="810" spans="4:8" ht="13.2" x14ac:dyDescent="0.25">
      <c r="D810" s="16"/>
      <c r="E810" s="16"/>
      <c r="F810" s="17"/>
      <c r="H810" s="18"/>
    </row>
    <row r="811" spans="4:8" ht="13.2" x14ac:dyDescent="0.25">
      <c r="D811" s="16"/>
      <c r="E811" s="16"/>
      <c r="F811" s="17"/>
      <c r="H811" s="18"/>
    </row>
    <row r="812" spans="4:8" ht="13.2" x14ac:dyDescent="0.25">
      <c r="D812" s="16"/>
      <c r="E812" s="16"/>
      <c r="F812" s="17"/>
      <c r="H812" s="18"/>
    </row>
    <row r="813" spans="4:8" ht="13.2" x14ac:dyDescent="0.25">
      <c r="D813" s="16"/>
      <c r="E813" s="16"/>
      <c r="F813" s="17"/>
      <c r="H813" s="18"/>
    </row>
    <row r="814" spans="4:8" ht="13.2" x14ac:dyDescent="0.25">
      <c r="D814" s="16"/>
      <c r="E814" s="16"/>
      <c r="F814" s="17"/>
      <c r="H814" s="18"/>
    </row>
    <row r="815" spans="4:8" ht="13.2" x14ac:dyDescent="0.25">
      <c r="D815" s="16"/>
      <c r="E815" s="16"/>
      <c r="F815" s="17"/>
      <c r="H815" s="18"/>
    </row>
    <row r="816" spans="4:8" ht="13.2" x14ac:dyDescent="0.25">
      <c r="D816" s="16"/>
      <c r="E816" s="16"/>
      <c r="F816" s="17"/>
      <c r="H816" s="18"/>
    </row>
    <row r="817" spans="4:8" ht="13.2" x14ac:dyDescent="0.25">
      <c r="D817" s="16"/>
      <c r="E817" s="16"/>
      <c r="F817" s="17"/>
      <c r="H817" s="18"/>
    </row>
    <row r="818" spans="4:8" ht="13.2" x14ac:dyDescent="0.25">
      <c r="D818" s="16"/>
      <c r="E818" s="16"/>
      <c r="F818" s="17"/>
      <c r="H818" s="18"/>
    </row>
    <row r="819" spans="4:8" ht="13.2" x14ac:dyDescent="0.25">
      <c r="D819" s="16"/>
      <c r="E819" s="16"/>
      <c r="F819" s="17"/>
      <c r="H819" s="18"/>
    </row>
    <row r="820" spans="4:8" ht="13.2" x14ac:dyDescent="0.25">
      <c r="D820" s="16"/>
      <c r="E820" s="16"/>
      <c r="F820" s="17"/>
      <c r="H820" s="18"/>
    </row>
    <row r="821" spans="4:8" ht="13.2" x14ac:dyDescent="0.25">
      <c r="D821" s="16"/>
      <c r="E821" s="16"/>
      <c r="F821" s="17"/>
      <c r="H821" s="18"/>
    </row>
    <row r="822" spans="4:8" ht="13.2" x14ac:dyDescent="0.25">
      <c r="D822" s="16"/>
      <c r="E822" s="16"/>
      <c r="F822" s="17"/>
      <c r="H822" s="18"/>
    </row>
    <row r="823" spans="4:8" ht="13.2" x14ac:dyDescent="0.25">
      <c r="D823" s="16"/>
      <c r="E823" s="16"/>
      <c r="F823" s="17"/>
      <c r="H823" s="18"/>
    </row>
    <row r="824" spans="4:8" ht="13.2" x14ac:dyDescent="0.25">
      <c r="D824" s="16"/>
      <c r="E824" s="16"/>
      <c r="F824" s="17"/>
      <c r="H824" s="18"/>
    </row>
    <row r="825" spans="4:8" ht="13.2" x14ac:dyDescent="0.25">
      <c r="D825" s="16"/>
      <c r="E825" s="16"/>
      <c r="F825" s="17"/>
      <c r="H825" s="18"/>
    </row>
    <row r="826" spans="4:8" ht="13.2" x14ac:dyDescent="0.25">
      <c r="D826" s="16"/>
      <c r="E826" s="16"/>
      <c r="F826" s="17"/>
      <c r="H826" s="18"/>
    </row>
    <row r="827" spans="4:8" ht="13.2" x14ac:dyDescent="0.25">
      <c r="D827" s="16"/>
      <c r="E827" s="16"/>
      <c r="F827" s="17"/>
      <c r="H827" s="18"/>
    </row>
    <row r="828" spans="4:8" ht="13.2" x14ac:dyDescent="0.25">
      <c r="D828" s="16"/>
      <c r="E828" s="16"/>
      <c r="F828" s="17"/>
      <c r="H828" s="18"/>
    </row>
    <row r="829" spans="4:8" ht="13.2" x14ac:dyDescent="0.25">
      <c r="D829" s="16"/>
      <c r="E829" s="16"/>
      <c r="F829" s="17"/>
      <c r="H829" s="18"/>
    </row>
    <row r="830" spans="4:8" ht="13.2" x14ac:dyDescent="0.25">
      <c r="D830" s="16"/>
      <c r="E830" s="16"/>
      <c r="F830" s="17"/>
      <c r="H830" s="18"/>
    </row>
    <row r="831" spans="4:8" ht="13.2" x14ac:dyDescent="0.25">
      <c r="D831" s="16"/>
      <c r="E831" s="16"/>
      <c r="F831" s="17"/>
      <c r="H831" s="18"/>
    </row>
    <row r="832" spans="4:8" ht="13.2" x14ac:dyDescent="0.25">
      <c r="D832" s="16"/>
      <c r="E832" s="16"/>
      <c r="F832" s="17"/>
      <c r="H832" s="18"/>
    </row>
    <row r="833" spans="4:8" ht="13.2" x14ac:dyDescent="0.25">
      <c r="D833" s="16"/>
      <c r="E833" s="16"/>
      <c r="F833" s="17"/>
      <c r="H833" s="18"/>
    </row>
    <row r="834" spans="4:8" ht="13.2" x14ac:dyDescent="0.25">
      <c r="D834" s="16"/>
      <c r="E834" s="16"/>
      <c r="F834" s="17"/>
      <c r="H834" s="18"/>
    </row>
    <row r="835" spans="4:8" ht="13.2" x14ac:dyDescent="0.25">
      <c r="D835" s="16"/>
      <c r="E835" s="16"/>
      <c r="F835" s="17"/>
      <c r="H835" s="18"/>
    </row>
    <row r="836" spans="4:8" ht="13.2" x14ac:dyDescent="0.25">
      <c r="D836" s="16"/>
      <c r="E836" s="16"/>
      <c r="F836" s="17"/>
      <c r="H836" s="18"/>
    </row>
    <row r="837" spans="4:8" ht="13.2" x14ac:dyDescent="0.25">
      <c r="D837" s="16"/>
      <c r="E837" s="16"/>
      <c r="F837" s="17"/>
      <c r="H837" s="18"/>
    </row>
    <row r="838" spans="4:8" ht="13.2" x14ac:dyDescent="0.25">
      <c r="D838" s="16"/>
      <c r="E838" s="16"/>
      <c r="F838" s="17"/>
      <c r="H838" s="18"/>
    </row>
    <row r="839" spans="4:8" ht="13.2" x14ac:dyDescent="0.25">
      <c r="D839" s="16"/>
      <c r="E839" s="16"/>
      <c r="F839" s="17"/>
      <c r="H839" s="18"/>
    </row>
    <row r="840" spans="4:8" ht="13.2" x14ac:dyDescent="0.25">
      <c r="D840" s="16"/>
      <c r="E840" s="16"/>
      <c r="F840" s="17"/>
      <c r="H840" s="18"/>
    </row>
    <row r="841" spans="4:8" ht="13.2" x14ac:dyDescent="0.25">
      <c r="D841" s="16"/>
      <c r="E841" s="16"/>
      <c r="F841" s="17"/>
      <c r="H841" s="18"/>
    </row>
    <row r="842" spans="4:8" ht="13.2" x14ac:dyDescent="0.25">
      <c r="D842" s="16"/>
      <c r="E842" s="16"/>
      <c r="F842" s="17"/>
      <c r="H842" s="18"/>
    </row>
    <row r="843" spans="4:8" ht="13.2" x14ac:dyDescent="0.25">
      <c r="D843" s="16"/>
      <c r="E843" s="16"/>
      <c r="F843" s="17"/>
      <c r="H843" s="18"/>
    </row>
    <row r="844" spans="4:8" ht="13.2" x14ac:dyDescent="0.25">
      <c r="D844" s="16"/>
      <c r="E844" s="16"/>
      <c r="F844" s="17"/>
      <c r="H844" s="18"/>
    </row>
    <row r="845" spans="4:8" ht="13.2" x14ac:dyDescent="0.25">
      <c r="D845" s="16"/>
      <c r="E845" s="16"/>
      <c r="F845" s="17"/>
      <c r="H845" s="18"/>
    </row>
    <row r="846" spans="4:8" ht="13.2" x14ac:dyDescent="0.25">
      <c r="D846" s="16"/>
      <c r="E846" s="16"/>
      <c r="F846" s="17"/>
      <c r="H846" s="18"/>
    </row>
    <row r="847" spans="4:8" ht="13.2" x14ac:dyDescent="0.25">
      <c r="D847" s="16"/>
      <c r="E847" s="16"/>
      <c r="F847" s="17"/>
      <c r="H847" s="18"/>
    </row>
    <row r="848" spans="4:8" ht="13.2" x14ac:dyDescent="0.25">
      <c r="D848" s="16"/>
      <c r="E848" s="16"/>
      <c r="F848" s="17"/>
      <c r="H848" s="18"/>
    </row>
    <row r="849" spans="4:8" ht="13.2" x14ac:dyDescent="0.25">
      <c r="D849" s="16"/>
      <c r="E849" s="16"/>
      <c r="F849" s="17"/>
      <c r="H849" s="18"/>
    </row>
    <row r="850" spans="4:8" ht="13.2" x14ac:dyDescent="0.25">
      <c r="D850" s="16"/>
      <c r="E850" s="16"/>
      <c r="F850" s="17"/>
      <c r="H850" s="18"/>
    </row>
    <row r="851" spans="4:8" ht="13.2" x14ac:dyDescent="0.25">
      <c r="D851" s="16"/>
      <c r="E851" s="16"/>
      <c r="F851" s="17"/>
      <c r="H851" s="18"/>
    </row>
    <row r="852" spans="4:8" ht="13.2" x14ac:dyDescent="0.25">
      <c r="D852" s="16"/>
      <c r="E852" s="16"/>
      <c r="F852" s="17"/>
      <c r="H852" s="18"/>
    </row>
    <row r="853" spans="4:8" ht="13.2" x14ac:dyDescent="0.25">
      <c r="D853" s="16"/>
      <c r="E853" s="16"/>
      <c r="F853" s="17"/>
      <c r="H853" s="18"/>
    </row>
    <row r="854" spans="4:8" ht="13.2" x14ac:dyDescent="0.25">
      <c r="D854" s="16"/>
      <c r="E854" s="16"/>
      <c r="F854" s="17"/>
      <c r="H854" s="18"/>
    </row>
    <row r="855" spans="4:8" ht="13.2" x14ac:dyDescent="0.25">
      <c r="D855" s="16"/>
      <c r="E855" s="16"/>
      <c r="F855" s="17"/>
      <c r="H855" s="18"/>
    </row>
    <row r="856" spans="4:8" ht="13.2" x14ac:dyDescent="0.25">
      <c r="D856" s="16"/>
      <c r="E856" s="16"/>
      <c r="F856" s="17"/>
      <c r="H856" s="18"/>
    </row>
    <row r="857" spans="4:8" ht="13.2" x14ac:dyDescent="0.25">
      <c r="D857" s="16"/>
      <c r="E857" s="16"/>
      <c r="F857" s="17"/>
      <c r="H857" s="18"/>
    </row>
    <row r="858" spans="4:8" ht="13.2" x14ac:dyDescent="0.25">
      <c r="D858" s="16"/>
      <c r="E858" s="16"/>
      <c r="F858" s="17"/>
      <c r="H858" s="18"/>
    </row>
    <row r="859" spans="4:8" ht="13.2" x14ac:dyDescent="0.25">
      <c r="D859" s="16"/>
      <c r="E859" s="16"/>
      <c r="F859" s="17"/>
      <c r="H859" s="18"/>
    </row>
    <row r="860" spans="4:8" ht="13.2" x14ac:dyDescent="0.25">
      <c r="D860" s="16"/>
      <c r="E860" s="16"/>
      <c r="F860" s="17"/>
      <c r="H860" s="18"/>
    </row>
    <row r="861" spans="4:8" ht="13.2" x14ac:dyDescent="0.25">
      <c r="D861" s="16"/>
      <c r="E861" s="16"/>
      <c r="F861" s="17"/>
      <c r="H861" s="18"/>
    </row>
    <row r="862" spans="4:8" ht="13.2" x14ac:dyDescent="0.25">
      <c r="D862" s="16"/>
      <c r="E862" s="16"/>
      <c r="F862" s="17"/>
      <c r="H862" s="18"/>
    </row>
    <row r="863" spans="4:8" ht="13.2" x14ac:dyDescent="0.25">
      <c r="D863" s="16"/>
      <c r="E863" s="16"/>
      <c r="F863" s="17"/>
      <c r="H863" s="18"/>
    </row>
    <row r="864" spans="4:8" ht="13.2" x14ac:dyDescent="0.25">
      <c r="D864" s="16"/>
      <c r="E864" s="16"/>
      <c r="F864" s="17"/>
      <c r="H864" s="18"/>
    </row>
    <row r="865" spans="4:8" ht="13.2" x14ac:dyDescent="0.25">
      <c r="D865" s="16"/>
      <c r="E865" s="16"/>
      <c r="F865" s="17"/>
      <c r="H865" s="18"/>
    </row>
    <row r="866" spans="4:8" ht="13.2" x14ac:dyDescent="0.25">
      <c r="D866" s="16"/>
      <c r="E866" s="16"/>
      <c r="F866" s="17"/>
      <c r="H866" s="18"/>
    </row>
    <row r="867" spans="4:8" ht="13.2" x14ac:dyDescent="0.25">
      <c r="D867" s="16"/>
      <c r="E867" s="16"/>
      <c r="F867" s="17"/>
      <c r="H867" s="18"/>
    </row>
    <row r="868" spans="4:8" ht="13.2" x14ac:dyDescent="0.25">
      <c r="D868" s="16"/>
      <c r="E868" s="16"/>
      <c r="F868" s="17"/>
      <c r="H868" s="18"/>
    </row>
    <row r="869" spans="4:8" ht="13.2" x14ac:dyDescent="0.25">
      <c r="D869" s="16"/>
      <c r="E869" s="16"/>
      <c r="F869" s="17"/>
      <c r="H869" s="18"/>
    </row>
    <row r="870" spans="4:8" ht="13.2" x14ac:dyDescent="0.25">
      <c r="D870" s="16"/>
      <c r="E870" s="16"/>
      <c r="F870" s="17"/>
      <c r="H870" s="18"/>
    </row>
    <row r="871" spans="4:8" ht="13.2" x14ac:dyDescent="0.25">
      <c r="D871" s="16"/>
      <c r="E871" s="16"/>
      <c r="F871" s="17"/>
      <c r="H871" s="18"/>
    </row>
    <row r="872" spans="4:8" ht="13.2" x14ac:dyDescent="0.25">
      <c r="D872" s="16"/>
      <c r="E872" s="16"/>
      <c r="F872" s="17"/>
      <c r="H872" s="18"/>
    </row>
    <row r="873" spans="4:8" ht="13.2" x14ac:dyDescent="0.25">
      <c r="D873" s="16"/>
      <c r="E873" s="16"/>
      <c r="F873" s="17"/>
      <c r="H873" s="18"/>
    </row>
    <row r="874" spans="4:8" ht="13.2" x14ac:dyDescent="0.25">
      <c r="D874" s="16"/>
      <c r="E874" s="16"/>
      <c r="F874" s="17"/>
      <c r="H874" s="18"/>
    </row>
    <row r="875" spans="4:8" ht="13.2" x14ac:dyDescent="0.25">
      <c r="D875" s="16"/>
      <c r="E875" s="16"/>
      <c r="F875" s="17"/>
      <c r="H875" s="18"/>
    </row>
    <row r="876" spans="4:8" ht="13.2" x14ac:dyDescent="0.25">
      <c r="D876" s="16"/>
      <c r="E876" s="16"/>
      <c r="F876" s="17"/>
      <c r="H876" s="18"/>
    </row>
    <row r="877" spans="4:8" ht="13.2" x14ac:dyDescent="0.25">
      <c r="D877" s="16"/>
      <c r="E877" s="16"/>
      <c r="F877" s="17"/>
      <c r="H877" s="18"/>
    </row>
    <row r="878" spans="4:8" ht="13.2" x14ac:dyDescent="0.25">
      <c r="D878" s="16"/>
      <c r="E878" s="16"/>
      <c r="F878" s="17"/>
      <c r="H878" s="18"/>
    </row>
    <row r="879" spans="4:8" ht="13.2" x14ac:dyDescent="0.25">
      <c r="D879" s="16"/>
      <c r="E879" s="16"/>
      <c r="F879" s="17"/>
      <c r="H879" s="18"/>
    </row>
    <row r="880" spans="4:8" ht="13.2" x14ac:dyDescent="0.25">
      <c r="D880" s="16"/>
      <c r="E880" s="16"/>
      <c r="F880" s="17"/>
      <c r="H880" s="18"/>
    </row>
    <row r="881" spans="4:8" ht="13.2" x14ac:dyDescent="0.25">
      <c r="D881" s="16"/>
      <c r="E881" s="16"/>
      <c r="F881" s="17"/>
      <c r="H881" s="18"/>
    </row>
    <row r="882" spans="4:8" ht="13.2" x14ac:dyDescent="0.25">
      <c r="D882" s="16"/>
      <c r="E882" s="16"/>
      <c r="F882" s="17"/>
      <c r="H882" s="18"/>
    </row>
    <row r="883" spans="4:8" ht="13.2" x14ac:dyDescent="0.25">
      <c r="D883" s="16"/>
      <c r="E883" s="16"/>
      <c r="F883" s="17"/>
      <c r="H883" s="18"/>
    </row>
    <row r="884" spans="4:8" ht="13.2" x14ac:dyDescent="0.25">
      <c r="D884" s="16"/>
      <c r="E884" s="16"/>
      <c r="F884" s="17"/>
      <c r="H884" s="18"/>
    </row>
    <row r="885" spans="4:8" ht="13.2" x14ac:dyDescent="0.25">
      <c r="D885" s="16"/>
      <c r="E885" s="16"/>
      <c r="F885" s="17"/>
      <c r="H885" s="18"/>
    </row>
    <row r="886" spans="4:8" ht="13.2" x14ac:dyDescent="0.25">
      <c r="D886" s="16"/>
      <c r="E886" s="16"/>
      <c r="F886" s="17"/>
      <c r="H886" s="18"/>
    </row>
    <row r="887" spans="4:8" ht="13.2" x14ac:dyDescent="0.25">
      <c r="D887" s="16"/>
      <c r="E887" s="16"/>
      <c r="F887" s="17"/>
      <c r="H887" s="18"/>
    </row>
    <row r="888" spans="4:8" ht="13.2" x14ac:dyDescent="0.25">
      <c r="D888" s="16"/>
      <c r="E888" s="16"/>
      <c r="F888" s="17"/>
      <c r="H888" s="18"/>
    </row>
    <row r="889" spans="4:8" ht="13.2" x14ac:dyDescent="0.25">
      <c r="D889" s="16"/>
      <c r="E889" s="16"/>
      <c r="F889" s="17"/>
      <c r="H889" s="18"/>
    </row>
    <row r="890" spans="4:8" ht="13.2" x14ac:dyDescent="0.25">
      <c r="D890" s="16"/>
      <c r="E890" s="16"/>
      <c r="F890" s="17"/>
      <c r="H890" s="18"/>
    </row>
    <row r="891" spans="4:8" ht="13.2" x14ac:dyDescent="0.25">
      <c r="D891" s="16"/>
      <c r="E891" s="16"/>
      <c r="F891" s="17"/>
      <c r="H891" s="18"/>
    </row>
    <row r="892" spans="4:8" ht="13.2" x14ac:dyDescent="0.25">
      <c r="D892" s="16"/>
      <c r="E892" s="16"/>
      <c r="F892" s="17"/>
      <c r="H892" s="18"/>
    </row>
    <row r="893" spans="4:8" ht="13.2" x14ac:dyDescent="0.25">
      <c r="D893" s="16"/>
      <c r="E893" s="16"/>
      <c r="F893" s="17"/>
      <c r="H893" s="18"/>
    </row>
    <row r="894" spans="4:8" ht="13.2" x14ac:dyDescent="0.25">
      <c r="D894" s="16"/>
      <c r="E894" s="16"/>
      <c r="F894" s="17"/>
      <c r="H894" s="18"/>
    </row>
    <row r="895" spans="4:8" ht="13.2" x14ac:dyDescent="0.25">
      <c r="D895" s="16"/>
      <c r="E895" s="16"/>
      <c r="F895" s="17"/>
      <c r="H895" s="18"/>
    </row>
    <row r="896" spans="4:8" ht="13.2" x14ac:dyDescent="0.25">
      <c r="D896" s="16"/>
      <c r="E896" s="16"/>
      <c r="F896" s="17"/>
      <c r="H896" s="18"/>
    </row>
    <row r="897" spans="4:8" ht="13.2" x14ac:dyDescent="0.25">
      <c r="D897" s="16"/>
      <c r="E897" s="16"/>
      <c r="F897" s="17"/>
      <c r="H897" s="18"/>
    </row>
    <row r="898" spans="4:8" ht="13.2" x14ac:dyDescent="0.25">
      <c r="D898" s="16"/>
      <c r="E898" s="16"/>
      <c r="F898" s="17"/>
      <c r="H898" s="18"/>
    </row>
    <row r="899" spans="4:8" ht="13.2" x14ac:dyDescent="0.25">
      <c r="D899" s="16"/>
      <c r="E899" s="16"/>
      <c r="F899" s="17"/>
      <c r="H899" s="18"/>
    </row>
    <row r="900" spans="4:8" ht="13.2" x14ac:dyDescent="0.25">
      <c r="D900" s="16"/>
      <c r="E900" s="16"/>
      <c r="F900" s="17"/>
      <c r="H900" s="18"/>
    </row>
    <row r="901" spans="4:8" ht="13.2" x14ac:dyDescent="0.25">
      <c r="D901" s="16"/>
      <c r="E901" s="16"/>
      <c r="F901" s="17"/>
      <c r="H901" s="18"/>
    </row>
    <row r="902" spans="4:8" ht="13.2" x14ac:dyDescent="0.25">
      <c r="D902" s="16"/>
      <c r="E902" s="16"/>
      <c r="F902" s="17"/>
      <c r="H902" s="18"/>
    </row>
    <row r="903" spans="4:8" ht="13.2" x14ac:dyDescent="0.25">
      <c r="D903" s="16"/>
      <c r="E903" s="16"/>
      <c r="F903" s="17"/>
      <c r="H903" s="18"/>
    </row>
    <row r="904" spans="4:8" ht="13.2" x14ac:dyDescent="0.25">
      <c r="D904" s="16"/>
      <c r="E904" s="16"/>
      <c r="F904" s="17"/>
      <c r="H904" s="18"/>
    </row>
    <row r="905" spans="4:8" ht="13.2" x14ac:dyDescent="0.25">
      <c r="D905" s="16"/>
      <c r="E905" s="16"/>
      <c r="F905" s="17"/>
      <c r="H905" s="18"/>
    </row>
    <row r="906" spans="4:8" ht="13.2" x14ac:dyDescent="0.25">
      <c r="D906" s="16"/>
      <c r="E906" s="16"/>
      <c r="F906" s="17"/>
      <c r="H906" s="18"/>
    </row>
    <row r="907" spans="4:8" ht="13.2" x14ac:dyDescent="0.25">
      <c r="D907" s="16"/>
      <c r="E907" s="16"/>
      <c r="F907" s="17"/>
      <c r="H907" s="18"/>
    </row>
    <row r="908" spans="4:8" ht="13.2" x14ac:dyDescent="0.25">
      <c r="D908" s="16"/>
      <c r="E908" s="16"/>
      <c r="F908" s="17"/>
      <c r="H908" s="18"/>
    </row>
    <row r="909" spans="4:8" ht="13.2" x14ac:dyDescent="0.25">
      <c r="D909" s="16"/>
      <c r="E909" s="16"/>
      <c r="F909" s="17"/>
      <c r="H909" s="18"/>
    </row>
    <row r="910" spans="4:8" ht="13.2" x14ac:dyDescent="0.25">
      <c r="D910" s="16"/>
      <c r="E910" s="16"/>
      <c r="F910" s="17"/>
      <c r="H910" s="18"/>
    </row>
    <row r="911" spans="4:8" ht="13.2" x14ac:dyDescent="0.25">
      <c r="D911" s="16"/>
      <c r="E911" s="16"/>
      <c r="F911" s="17"/>
      <c r="H911" s="18"/>
    </row>
    <row r="912" spans="4:8" ht="13.2" x14ac:dyDescent="0.25">
      <c r="D912" s="16"/>
      <c r="E912" s="16"/>
      <c r="F912" s="17"/>
      <c r="H912" s="18"/>
    </row>
    <row r="913" spans="4:8" ht="13.2" x14ac:dyDescent="0.25">
      <c r="D913" s="16"/>
      <c r="E913" s="16"/>
      <c r="F913" s="17"/>
      <c r="H913" s="18"/>
    </row>
    <row r="914" spans="4:8" ht="13.2" x14ac:dyDescent="0.25">
      <c r="D914" s="16"/>
      <c r="E914" s="16"/>
      <c r="F914" s="17"/>
      <c r="H914" s="18"/>
    </row>
    <row r="915" spans="4:8" ht="13.2" x14ac:dyDescent="0.25">
      <c r="D915" s="16"/>
      <c r="E915" s="16"/>
      <c r="F915" s="17"/>
      <c r="H915" s="18"/>
    </row>
    <row r="916" spans="4:8" ht="13.2" x14ac:dyDescent="0.25">
      <c r="D916" s="16"/>
      <c r="E916" s="16"/>
      <c r="F916" s="17"/>
      <c r="H916" s="18"/>
    </row>
    <row r="917" spans="4:8" ht="13.2" x14ac:dyDescent="0.25">
      <c r="D917" s="16"/>
      <c r="E917" s="16"/>
      <c r="F917" s="17"/>
      <c r="H917" s="18"/>
    </row>
    <row r="918" spans="4:8" ht="13.2" x14ac:dyDescent="0.25">
      <c r="D918" s="16"/>
      <c r="E918" s="16"/>
      <c r="F918" s="17"/>
      <c r="H918" s="18"/>
    </row>
    <row r="919" spans="4:8" ht="13.2" x14ac:dyDescent="0.25">
      <c r="D919" s="16"/>
      <c r="E919" s="16"/>
      <c r="F919" s="17"/>
      <c r="H919" s="18"/>
    </row>
    <row r="920" spans="4:8" ht="13.2" x14ac:dyDescent="0.25">
      <c r="D920" s="16"/>
      <c r="E920" s="16"/>
      <c r="F920" s="17"/>
      <c r="H920" s="18"/>
    </row>
    <row r="921" spans="4:8" ht="13.2" x14ac:dyDescent="0.25">
      <c r="D921" s="16"/>
      <c r="E921" s="16"/>
      <c r="F921" s="17"/>
      <c r="H921" s="18"/>
    </row>
    <row r="922" spans="4:8" ht="13.2" x14ac:dyDescent="0.25">
      <c r="D922" s="16"/>
      <c r="E922" s="16"/>
      <c r="F922" s="17"/>
      <c r="H922" s="18"/>
    </row>
    <row r="923" spans="4:8" ht="13.2" x14ac:dyDescent="0.25">
      <c r="D923" s="16"/>
      <c r="E923" s="16"/>
      <c r="F923" s="17"/>
      <c r="H923" s="18"/>
    </row>
    <row r="924" spans="4:8" ht="13.2" x14ac:dyDescent="0.25">
      <c r="D924" s="16"/>
      <c r="E924" s="16"/>
      <c r="F924" s="17"/>
      <c r="H924" s="18"/>
    </row>
    <row r="925" spans="4:8" ht="13.2" x14ac:dyDescent="0.25">
      <c r="D925" s="16"/>
      <c r="E925" s="16"/>
      <c r="F925" s="17"/>
      <c r="H925" s="18"/>
    </row>
    <row r="926" spans="4:8" ht="13.2" x14ac:dyDescent="0.25">
      <c r="D926" s="16"/>
      <c r="E926" s="16"/>
      <c r="F926" s="17"/>
      <c r="H926" s="18"/>
    </row>
    <row r="927" spans="4:8" ht="13.2" x14ac:dyDescent="0.25">
      <c r="D927" s="16"/>
      <c r="E927" s="16"/>
      <c r="F927" s="17"/>
      <c r="H927" s="18"/>
    </row>
    <row r="928" spans="4:8" ht="13.2" x14ac:dyDescent="0.25">
      <c r="D928" s="16"/>
      <c r="E928" s="16"/>
      <c r="F928" s="17"/>
      <c r="H928" s="18"/>
    </row>
    <row r="929" spans="4:8" ht="13.2" x14ac:dyDescent="0.25">
      <c r="D929" s="16"/>
      <c r="E929" s="16"/>
      <c r="F929" s="17"/>
      <c r="H929" s="18"/>
    </row>
    <row r="930" spans="4:8" ht="13.2" x14ac:dyDescent="0.25">
      <c r="D930" s="16"/>
      <c r="E930" s="16"/>
      <c r="F930" s="17"/>
      <c r="H930" s="18"/>
    </row>
    <row r="931" spans="4:8" ht="13.2" x14ac:dyDescent="0.25">
      <c r="D931" s="16"/>
      <c r="E931" s="16"/>
      <c r="F931" s="17"/>
      <c r="H931" s="18"/>
    </row>
    <row r="932" spans="4:8" ht="13.2" x14ac:dyDescent="0.25">
      <c r="D932" s="16"/>
      <c r="E932" s="16"/>
      <c r="F932" s="17"/>
      <c r="H932" s="18"/>
    </row>
    <row r="933" spans="4:8" ht="13.2" x14ac:dyDescent="0.25">
      <c r="D933" s="16"/>
      <c r="E933" s="16"/>
      <c r="F933" s="17"/>
      <c r="H933" s="18"/>
    </row>
    <row r="934" spans="4:8" ht="13.2" x14ac:dyDescent="0.25">
      <c r="D934" s="16"/>
      <c r="E934" s="16"/>
      <c r="F934" s="17"/>
      <c r="H934" s="18"/>
    </row>
    <row r="935" spans="4:8" ht="13.2" x14ac:dyDescent="0.25">
      <c r="D935" s="16"/>
      <c r="E935" s="16"/>
      <c r="F935" s="17"/>
      <c r="H935" s="18"/>
    </row>
    <row r="936" spans="4:8" ht="13.2" x14ac:dyDescent="0.25">
      <c r="D936" s="16"/>
      <c r="E936" s="16"/>
      <c r="F936" s="17"/>
      <c r="H936" s="18"/>
    </row>
    <row r="937" spans="4:8" ht="13.2" x14ac:dyDescent="0.25">
      <c r="D937" s="16"/>
      <c r="E937" s="16"/>
      <c r="F937" s="17"/>
      <c r="H937" s="18"/>
    </row>
    <row r="938" spans="4:8" ht="13.2" x14ac:dyDescent="0.25">
      <c r="D938" s="16"/>
      <c r="E938" s="16"/>
      <c r="F938" s="17"/>
      <c r="H938" s="18"/>
    </row>
    <row r="939" spans="4:8" ht="13.2" x14ac:dyDescent="0.25">
      <c r="D939" s="16"/>
      <c r="E939" s="16"/>
      <c r="F939" s="17"/>
      <c r="H939" s="18"/>
    </row>
    <row r="940" spans="4:8" ht="13.2" x14ac:dyDescent="0.25">
      <c r="D940" s="16"/>
      <c r="E940" s="16"/>
      <c r="F940" s="17"/>
      <c r="H940" s="18"/>
    </row>
    <row r="941" spans="4:8" ht="13.2" x14ac:dyDescent="0.25">
      <c r="D941" s="16"/>
      <c r="E941" s="16"/>
      <c r="F941" s="17"/>
      <c r="H941" s="18"/>
    </row>
    <row r="942" spans="4:8" ht="13.2" x14ac:dyDescent="0.25">
      <c r="D942" s="16"/>
      <c r="E942" s="16"/>
      <c r="F942" s="17"/>
      <c r="H942" s="18"/>
    </row>
    <row r="943" spans="4:8" ht="13.2" x14ac:dyDescent="0.25">
      <c r="D943" s="16"/>
      <c r="E943" s="16"/>
      <c r="F943" s="17"/>
      <c r="H943" s="18"/>
    </row>
    <row r="944" spans="4:8" ht="13.2" x14ac:dyDescent="0.25">
      <c r="D944" s="16"/>
      <c r="E944" s="16"/>
      <c r="F944" s="17"/>
      <c r="H944" s="18"/>
    </row>
    <row r="945" spans="4:8" ht="13.2" x14ac:dyDescent="0.25">
      <c r="D945" s="16"/>
      <c r="E945" s="16"/>
      <c r="F945" s="17"/>
      <c r="H945" s="18"/>
    </row>
    <row r="946" spans="4:8" ht="13.2" x14ac:dyDescent="0.25">
      <c r="D946" s="16"/>
      <c r="E946" s="16"/>
      <c r="F946" s="17"/>
      <c r="H946" s="18"/>
    </row>
    <row r="947" spans="4:8" ht="13.2" x14ac:dyDescent="0.25">
      <c r="D947" s="16"/>
      <c r="E947" s="16"/>
      <c r="F947" s="17"/>
      <c r="H947" s="18"/>
    </row>
    <row r="948" spans="4:8" ht="13.2" x14ac:dyDescent="0.25">
      <c r="D948" s="16"/>
      <c r="E948" s="16"/>
      <c r="F948" s="17"/>
      <c r="H948" s="18"/>
    </row>
    <row r="949" spans="4:8" ht="13.2" x14ac:dyDescent="0.25">
      <c r="D949" s="16"/>
      <c r="E949" s="16"/>
      <c r="F949" s="17"/>
      <c r="H949" s="18"/>
    </row>
    <row r="950" spans="4:8" ht="13.2" x14ac:dyDescent="0.25">
      <c r="D950" s="16"/>
      <c r="E950" s="16"/>
      <c r="F950" s="17"/>
      <c r="H950" s="18"/>
    </row>
    <row r="951" spans="4:8" ht="13.2" x14ac:dyDescent="0.25">
      <c r="D951" s="16"/>
      <c r="E951" s="16"/>
      <c r="F951" s="17"/>
      <c r="H951" s="18"/>
    </row>
    <row r="952" spans="4:8" ht="13.2" x14ac:dyDescent="0.25">
      <c r="D952" s="16"/>
      <c r="E952" s="16"/>
      <c r="F952" s="17"/>
      <c r="H952" s="18"/>
    </row>
    <row r="953" spans="4:8" ht="13.2" x14ac:dyDescent="0.25">
      <c r="D953" s="16"/>
      <c r="E953" s="16"/>
      <c r="F953" s="17"/>
      <c r="H953" s="18"/>
    </row>
    <row r="954" spans="4:8" ht="13.2" x14ac:dyDescent="0.25">
      <c r="D954" s="16"/>
      <c r="E954" s="16"/>
      <c r="F954" s="17"/>
      <c r="H954" s="18"/>
    </row>
    <row r="955" spans="4:8" ht="13.2" x14ac:dyDescent="0.25">
      <c r="D955" s="16"/>
      <c r="E955" s="16"/>
      <c r="F955" s="17"/>
      <c r="H955" s="18"/>
    </row>
    <row r="956" spans="4:8" ht="13.2" x14ac:dyDescent="0.25">
      <c r="D956" s="16"/>
      <c r="E956" s="16"/>
      <c r="F956" s="17"/>
      <c r="H956" s="18"/>
    </row>
    <row r="957" spans="4:8" ht="13.2" x14ac:dyDescent="0.25">
      <c r="D957" s="16"/>
      <c r="E957" s="16"/>
      <c r="F957" s="17"/>
      <c r="H957" s="18"/>
    </row>
    <row r="958" spans="4:8" ht="13.2" x14ac:dyDescent="0.25">
      <c r="D958" s="16"/>
      <c r="E958" s="16"/>
      <c r="F958" s="17"/>
      <c r="H958" s="18"/>
    </row>
    <row r="959" spans="4:8" ht="13.2" x14ac:dyDescent="0.25">
      <c r="D959" s="16"/>
      <c r="E959" s="16"/>
      <c r="F959" s="17"/>
      <c r="H959" s="18"/>
    </row>
    <row r="960" spans="4:8" ht="13.2" x14ac:dyDescent="0.25">
      <c r="D960" s="16"/>
      <c r="E960" s="16"/>
      <c r="F960" s="17"/>
      <c r="H960" s="18"/>
    </row>
    <row r="961" spans="4:8" ht="13.2" x14ac:dyDescent="0.25">
      <c r="D961" s="16"/>
      <c r="E961" s="16"/>
      <c r="F961" s="17"/>
      <c r="H961" s="18"/>
    </row>
    <row r="962" spans="4:8" ht="13.2" x14ac:dyDescent="0.25">
      <c r="D962" s="16"/>
      <c r="E962" s="16"/>
      <c r="F962" s="17"/>
      <c r="H962" s="18"/>
    </row>
    <row r="963" spans="4:8" ht="13.2" x14ac:dyDescent="0.25">
      <c r="D963" s="16"/>
      <c r="E963" s="16"/>
      <c r="F963" s="17"/>
      <c r="H963" s="18"/>
    </row>
    <row r="964" spans="4:8" ht="13.2" x14ac:dyDescent="0.25">
      <c r="D964" s="16"/>
      <c r="E964" s="16"/>
      <c r="F964" s="17"/>
      <c r="H964" s="18"/>
    </row>
    <row r="965" spans="4:8" ht="13.2" x14ac:dyDescent="0.25">
      <c r="D965" s="16"/>
      <c r="E965" s="16"/>
      <c r="F965" s="17"/>
      <c r="H965" s="18"/>
    </row>
    <row r="966" spans="4:8" ht="13.2" x14ac:dyDescent="0.25">
      <c r="D966" s="16"/>
      <c r="E966" s="16"/>
      <c r="F966" s="17"/>
      <c r="H966" s="18"/>
    </row>
    <row r="967" spans="4:8" ht="13.2" x14ac:dyDescent="0.25">
      <c r="D967" s="16"/>
      <c r="E967" s="16"/>
      <c r="F967" s="17"/>
      <c r="H967" s="18"/>
    </row>
    <row r="968" spans="4:8" ht="13.2" x14ac:dyDescent="0.25">
      <c r="D968" s="16"/>
      <c r="E968" s="16"/>
      <c r="F968" s="17"/>
      <c r="H968" s="18"/>
    </row>
    <row r="969" spans="4:8" ht="13.2" x14ac:dyDescent="0.25">
      <c r="D969" s="16"/>
      <c r="E969" s="16"/>
      <c r="F969" s="17"/>
      <c r="H969" s="18"/>
    </row>
    <row r="970" spans="4:8" ht="13.2" x14ac:dyDescent="0.25">
      <c r="D970" s="16"/>
      <c r="E970" s="16"/>
      <c r="F970" s="17"/>
      <c r="H970" s="18"/>
    </row>
    <row r="971" spans="4:8" ht="13.2" x14ac:dyDescent="0.25">
      <c r="D971" s="16"/>
      <c r="E971" s="16"/>
      <c r="F971" s="17"/>
      <c r="H971" s="18"/>
    </row>
    <row r="972" spans="4:8" ht="13.2" x14ac:dyDescent="0.25">
      <c r="D972" s="16"/>
      <c r="E972" s="16"/>
      <c r="F972" s="17"/>
      <c r="H972" s="18"/>
    </row>
    <row r="973" spans="4:8" ht="13.2" x14ac:dyDescent="0.25">
      <c r="D973" s="16"/>
      <c r="E973" s="16"/>
      <c r="F973" s="17"/>
      <c r="H973" s="18"/>
    </row>
    <row r="974" spans="4:8" ht="13.2" x14ac:dyDescent="0.25">
      <c r="D974" s="16"/>
      <c r="E974" s="16"/>
      <c r="F974" s="17"/>
      <c r="H974" s="18"/>
    </row>
    <row r="975" spans="4:8" ht="13.2" x14ac:dyDescent="0.25">
      <c r="D975" s="16"/>
      <c r="E975" s="16"/>
      <c r="F975" s="17"/>
      <c r="H975" s="18"/>
    </row>
    <row r="976" spans="4:8" ht="13.2" x14ac:dyDescent="0.25">
      <c r="D976" s="16"/>
      <c r="E976" s="16"/>
      <c r="F976" s="17"/>
      <c r="H976" s="18"/>
    </row>
    <row r="977" spans="4:8" ht="13.2" x14ac:dyDescent="0.25">
      <c r="D977" s="16"/>
      <c r="E977" s="16"/>
      <c r="F977" s="17"/>
      <c r="H977" s="18"/>
    </row>
    <row r="978" spans="4:8" ht="13.2" x14ac:dyDescent="0.25">
      <c r="D978" s="16"/>
      <c r="E978" s="16"/>
      <c r="F978" s="17"/>
      <c r="H978" s="18"/>
    </row>
    <row r="979" spans="4:8" ht="13.2" x14ac:dyDescent="0.25">
      <c r="D979" s="16"/>
      <c r="E979" s="16"/>
      <c r="F979" s="17"/>
      <c r="H979" s="18"/>
    </row>
    <row r="980" spans="4:8" ht="13.2" x14ac:dyDescent="0.25">
      <c r="D980" s="16"/>
      <c r="E980" s="16"/>
      <c r="F980" s="17"/>
      <c r="H980" s="18"/>
    </row>
    <row r="981" spans="4:8" ht="13.2" x14ac:dyDescent="0.25">
      <c r="D981" s="16"/>
      <c r="E981" s="16"/>
      <c r="F981" s="17"/>
      <c r="H981" s="18"/>
    </row>
    <row r="982" spans="4:8" ht="13.2" x14ac:dyDescent="0.25">
      <c r="D982" s="16"/>
      <c r="E982" s="16"/>
      <c r="F982" s="17"/>
      <c r="H982" s="18"/>
    </row>
    <row r="983" spans="4:8" ht="13.2" x14ac:dyDescent="0.25">
      <c r="D983" s="16"/>
      <c r="E983" s="16"/>
      <c r="F983" s="17"/>
      <c r="H983" s="18"/>
    </row>
    <row r="984" spans="4:8" ht="13.2" x14ac:dyDescent="0.25">
      <c r="D984" s="16"/>
      <c r="E984" s="16"/>
      <c r="F984" s="17"/>
      <c r="H984" s="18"/>
    </row>
    <row r="985" spans="4:8" ht="13.2" x14ac:dyDescent="0.25">
      <c r="D985" s="16"/>
      <c r="E985" s="16"/>
      <c r="F985" s="17"/>
      <c r="H985" s="18"/>
    </row>
    <row r="986" spans="4:8" ht="13.2" x14ac:dyDescent="0.25">
      <c r="D986" s="16"/>
      <c r="E986" s="16"/>
      <c r="F986" s="17"/>
      <c r="H986" s="18"/>
    </row>
    <row r="987" spans="4:8" ht="13.2" x14ac:dyDescent="0.25">
      <c r="D987" s="16"/>
      <c r="E987" s="16"/>
      <c r="F987" s="17"/>
      <c r="H987" s="18"/>
    </row>
    <row r="988" spans="4:8" ht="13.2" x14ac:dyDescent="0.25">
      <c r="D988" s="16"/>
      <c r="E988" s="16"/>
      <c r="F988" s="17"/>
      <c r="H988" s="18"/>
    </row>
    <row r="989" spans="4:8" ht="13.2" x14ac:dyDescent="0.25">
      <c r="D989" s="16"/>
      <c r="E989" s="16"/>
      <c r="F989" s="17"/>
      <c r="H989" s="18"/>
    </row>
    <row r="990" spans="4:8" ht="13.2" x14ac:dyDescent="0.25">
      <c r="D990" s="16"/>
      <c r="E990" s="16"/>
      <c r="F990" s="17"/>
      <c r="H990" s="18"/>
    </row>
    <row r="991" spans="4:8" ht="13.2" x14ac:dyDescent="0.25">
      <c r="D991" s="16"/>
      <c r="E991" s="16"/>
      <c r="F991" s="17"/>
      <c r="H991" s="18"/>
    </row>
    <row r="992" spans="4:8" ht="13.2" x14ac:dyDescent="0.25">
      <c r="D992" s="16"/>
      <c r="E992" s="16"/>
      <c r="F992" s="17"/>
      <c r="H992" s="18"/>
    </row>
    <row r="993" spans="4:8" ht="13.2" x14ac:dyDescent="0.25">
      <c r="D993" s="16"/>
      <c r="E993" s="16"/>
      <c r="F993" s="17"/>
      <c r="H993" s="18"/>
    </row>
    <row r="994" spans="4:8" ht="13.2" x14ac:dyDescent="0.25">
      <c r="D994" s="16"/>
      <c r="E994" s="16"/>
      <c r="F994" s="17"/>
      <c r="H994" s="18"/>
    </row>
    <row r="995" spans="4:8" ht="13.2" x14ac:dyDescent="0.25">
      <c r="D995" s="16"/>
      <c r="E995" s="16"/>
      <c r="F995" s="17"/>
      <c r="H995" s="18"/>
    </row>
    <row r="996" spans="4:8" ht="13.2" x14ac:dyDescent="0.25">
      <c r="D996" s="16"/>
      <c r="E996" s="16"/>
      <c r="F996" s="17"/>
      <c r="H996" s="18"/>
    </row>
    <row r="997" spans="4:8" ht="13.2" x14ac:dyDescent="0.25">
      <c r="D997" s="16"/>
      <c r="E997" s="16"/>
      <c r="F997" s="17"/>
      <c r="H997" s="18"/>
    </row>
    <row r="998" spans="4:8" ht="13.2" x14ac:dyDescent="0.25">
      <c r="D998" s="16"/>
      <c r="E998" s="16"/>
      <c r="F998" s="17"/>
      <c r="H998" s="18"/>
    </row>
    <row r="999" spans="4:8" ht="13.2" x14ac:dyDescent="0.25">
      <c r="D999" s="16"/>
      <c r="E999" s="16"/>
      <c r="F999" s="17"/>
      <c r="H999" s="18"/>
    </row>
    <row r="1000" spans="4:8" ht="13.2" x14ac:dyDescent="0.25">
      <c r="D1000" s="16"/>
      <c r="E1000" s="16"/>
      <c r="F1000" s="17"/>
      <c r="H1000" s="18"/>
    </row>
    <row r="1001" spans="4:8" ht="13.2" x14ac:dyDescent="0.25">
      <c r="D1001" s="16"/>
      <c r="E1001" s="16"/>
      <c r="F1001" s="17"/>
      <c r="H1001" s="18"/>
    </row>
    <row r="1002" spans="4:8" ht="13.2" x14ac:dyDescent="0.25">
      <c r="D1002" s="16"/>
      <c r="E1002" s="16"/>
      <c r="F1002" s="17"/>
      <c r="H1002" s="18"/>
    </row>
    <row r="1003" spans="4:8" ht="13.2" x14ac:dyDescent="0.25">
      <c r="D1003" s="16"/>
      <c r="E1003" s="16"/>
      <c r="F1003" s="17"/>
      <c r="H1003" s="18"/>
    </row>
    <row r="1004" spans="4:8" ht="13.2" x14ac:dyDescent="0.25">
      <c r="D1004" s="16"/>
      <c r="E1004" s="16"/>
      <c r="F1004" s="17"/>
      <c r="H1004" s="18"/>
    </row>
    <row r="1005" spans="4:8" ht="13.2" x14ac:dyDescent="0.25">
      <c r="D1005" s="16"/>
      <c r="E1005" s="16"/>
      <c r="F1005" s="17"/>
      <c r="H1005" s="18"/>
    </row>
    <row r="1006" spans="4:8" ht="13.2" x14ac:dyDescent="0.25">
      <c r="D1006" s="16"/>
      <c r="E1006" s="16"/>
      <c r="F1006" s="17"/>
      <c r="H1006" s="18"/>
    </row>
    <row r="1007" spans="4:8" ht="13.2" x14ac:dyDescent="0.25">
      <c r="D1007" s="16"/>
      <c r="E1007" s="16"/>
      <c r="F1007" s="17"/>
      <c r="H1007" s="18"/>
    </row>
    <row r="1008" spans="4:8" ht="13.2" x14ac:dyDescent="0.25">
      <c r="D1008" s="16"/>
      <c r="E1008" s="16"/>
      <c r="F1008" s="17"/>
      <c r="H1008" s="18"/>
    </row>
    <row r="1009" spans="4:8" ht="13.2" x14ac:dyDescent="0.25">
      <c r="D1009" s="16"/>
      <c r="E1009" s="16"/>
      <c r="F1009" s="17"/>
      <c r="H1009" s="18"/>
    </row>
    <row r="1010" spans="4:8" ht="13.2" x14ac:dyDescent="0.25">
      <c r="D1010" s="16"/>
      <c r="E1010" s="16"/>
      <c r="F1010" s="17"/>
      <c r="H1010" s="18"/>
    </row>
    <row r="1011" spans="4:8" ht="13.2" x14ac:dyDescent="0.25">
      <c r="D1011" s="16"/>
      <c r="E1011" s="16"/>
      <c r="F1011" s="17"/>
      <c r="H1011" s="18"/>
    </row>
    <row r="1012" spans="4:8" ht="13.2" x14ac:dyDescent="0.25">
      <c r="D1012" s="16"/>
      <c r="E1012" s="16"/>
      <c r="F1012" s="17"/>
      <c r="H1012" s="18"/>
    </row>
    <row r="1013" spans="4:8" ht="13.2" x14ac:dyDescent="0.25">
      <c r="D1013" s="16"/>
      <c r="E1013" s="16"/>
      <c r="F1013" s="17"/>
      <c r="H1013" s="18"/>
    </row>
    <row r="1014" spans="4:8" ht="13.2" x14ac:dyDescent="0.25">
      <c r="D1014" s="16"/>
      <c r="E1014" s="16"/>
      <c r="F1014" s="17"/>
      <c r="H1014" s="18"/>
    </row>
    <row r="1015" spans="4:8" ht="13.2" x14ac:dyDescent="0.25">
      <c r="D1015" s="16"/>
      <c r="E1015" s="16"/>
      <c r="F1015" s="17"/>
      <c r="H1015" s="18"/>
    </row>
    <row r="1016" spans="4:8" ht="13.2" x14ac:dyDescent="0.25">
      <c r="D1016" s="16"/>
      <c r="E1016" s="16"/>
      <c r="F1016" s="17"/>
      <c r="H1016" s="18"/>
    </row>
    <row r="1017" spans="4:8" ht="13.2" x14ac:dyDescent="0.25">
      <c r="D1017" s="16"/>
      <c r="E1017" s="16"/>
      <c r="F1017" s="17"/>
      <c r="H1017" s="18"/>
    </row>
    <row r="1018" spans="4:8" ht="13.2" x14ac:dyDescent="0.25">
      <c r="D1018" s="16"/>
      <c r="E1018" s="16"/>
      <c r="F1018" s="17"/>
      <c r="H1018" s="18"/>
    </row>
    <row r="1019" spans="4:8" ht="13.2" x14ac:dyDescent="0.25">
      <c r="D1019" s="16"/>
      <c r="E1019" s="16"/>
      <c r="F1019" s="17"/>
      <c r="H1019" s="18"/>
    </row>
    <row r="1020" spans="4:8" ht="13.2" x14ac:dyDescent="0.25">
      <c r="D1020" s="16"/>
      <c r="E1020" s="16"/>
      <c r="F1020" s="17"/>
      <c r="H1020" s="18"/>
    </row>
    <row r="1021" spans="4:8" ht="13.2" x14ac:dyDescent="0.25">
      <c r="D1021" s="16"/>
      <c r="E1021" s="16"/>
      <c r="F1021" s="17"/>
      <c r="H1021" s="18"/>
    </row>
    <row r="1022" spans="4:8" ht="13.2" x14ac:dyDescent="0.25">
      <c r="D1022" s="16"/>
      <c r="E1022" s="16"/>
      <c r="F1022" s="17"/>
      <c r="H1022" s="18"/>
    </row>
    <row r="1023" spans="4:8" ht="13.2" x14ac:dyDescent="0.25">
      <c r="D1023" s="16"/>
      <c r="E1023" s="16"/>
      <c r="F1023" s="17"/>
      <c r="H1023" s="18"/>
    </row>
    <row r="1024" spans="4:8" ht="13.2" x14ac:dyDescent="0.25">
      <c r="D1024" s="16"/>
      <c r="E1024" s="16"/>
      <c r="F1024" s="17"/>
      <c r="H1024" s="18"/>
    </row>
    <row r="1025" spans="4:8" ht="13.2" x14ac:dyDescent="0.25">
      <c r="D1025" s="16"/>
      <c r="E1025" s="16"/>
      <c r="F1025" s="17"/>
      <c r="H1025" s="18"/>
    </row>
  </sheetData>
  <mergeCells count="26">
    <mergeCell ref="B4:B8"/>
    <mergeCell ref="B10:B14"/>
    <mergeCell ref="B16:B20"/>
    <mergeCell ref="B22:B26"/>
    <mergeCell ref="B28:B32"/>
    <mergeCell ref="B34:B38"/>
    <mergeCell ref="B40:B44"/>
    <mergeCell ref="B46:B50"/>
    <mergeCell ref="B52:B56"/>
    <mergeCell ref="B58:B62"/>
    <mergeCell ref="B64:B68"/>
    <mergeCell ref="B70:B74"/>
    <mergeCell ref="B76:B80"/>
    <mergeCell ref="B82:B86"/>
    <mergeCell ref="B130:B134"/>
    <mergeCell ref="B136:B140"/>
    <mergeCell ref="B142:B146"/>
    <mergeCell ref="B148:B152"/>
    <mergeCell ref="B154:B158"/>
    <mergeCell ref="B88:B92"/>
    <mergeCell ref="B94:B98"/>
    <mergeCell ref="B100:B104"/>
    <mergeCell ref="B106:B110"/>
    <mergeCell ref="B112:B116"/>
    <mergeCell ref="B118:B122"/>
    <mergeCell ref="B124:B128"/>
  </mergeCells>
  <conditionalFormatting sqref="F1:F1048576">
    <cfRule type="cellIs" dxfId="0" priority="1" operator="lessThan">
      <formula>0.0002</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9"/>
  <sheetViews>
    <sheetView workbookViewId="0">
      <selection activeCell="B1" sqref="B1:C1048576"/>
    </sheetView>
  </sheetViews>
  <sheetFormatPr defaultColWidth="12.6640625" defaultRowHeight="15.75" customHeight="1" x14ac:dyDescent="0.25"/>
  <cols>
    <col min="4" max="21" width="5.109375" customWidth="1"/>
  </cols>
  <sheetData>
    <row r="1" spans="1:26" ht="13.2" x14ac:dyDescent="0.25">
      <c r="A1" s="1"/>
      <c r="D1" s="2"/>
      <c r="E1" s="2"/>
      <c r="F1" s="2"/>
      <c r="G1" s="2"/>
      <c r="H1" s="2"/>
      <c r="I1" s="2"/>
      <c r="J1" s="2"/>
      <c r="K1" s="2"/>
      <c r="L1" s="2"/>
      <c r="M1" s="2"/>
      <c r="N1" s="2"/>
      <c r="O1" s="2"/>
      <c r="P1" s="2"/>
      <c r="Q1" s="2"/>
      <c r="R1" s="2"/>
      <c r="S1" s="2"/>
      <c r="T1" s="2"/>
      <c r="U1" s="2"/>
      <c r="V1" s="22"/>
    </row>
    <row r="2" spans="1:26" ht="13.2" x14ac:dyDescent="0.25">
      <c r="D2" s="111" t="s">
        <v>195</v>
      </c>
      <c r="E2" s="106"/>
      <c r="F2" s="106"/>
      <c r="G2" s="106"/>
      <c r="H2" s="106"/>
      <c r="I2" s="106"/>
      <c r="J2" s="106"/>
      <c r="K2" s="106"/>
      <c r="L2" s="106"/>
      <c r="M2" s="106"/>
      <c r="N2" s="106"/>
      <c r="O2" s="106"/>
      <c r="P2" s="106"/>
      <c r="Q2" s="106"/>
      <c r="R2" s="106"/>
      <c r="S2" s="106"/>
      <c r="T2" s="106"/>
      <c r="U2" s="107"/>
      <c r="V2" s="22"/>
    </row>
    <row r="3" spans="1:26" ht="14.4" customHeight="1" x14ac:dyDescent="0.25">
      <c r="B3" s="5" t="s">
        <v>6</v>
      </c>
      <c r="C3" s="5" t="s">
        <v>7</v>
      </c>
      <c r="D3" s="5">
        <v>1</v>
      </c>
      <c r="E3" s="5">
        <v>2</v>
      </c>
      <c r="F3" s="5">
        <v>3</v>
      </c>
      <c r="G3" s="5">
        <v>4</v>
      </c>
      <c r="H3" s="5">
        <v>5</v>
      </c>
      <c r="I3" s="5">
        <v>6</v>
      </c>
      <c r="J3" s="5">
        <v>7</v>
      </c>
      <c r="K3" s="5">
        <v>8</v>
      </c>
      <c r="L3" s="5">
        <v>9</v>
      </c>
      <c r="M3" s="5">
        <v>10</v>
      </c>
      <c r="N3" s="5">
        <v>11</v>
      </c>
      <c r="O3" s="5">
        <v>12</v>
      </c>
      <c r="P3" s="5">
        <v>13</v>
      </c>
      <c r="Q3" s="5">
        <v>14</v>
      </c>
      <c r="R3" s="5">
        <v>15</v>
      </c>
      <c r="S3" s="5">
        <v>16</v>
      </c>
      <c r="T3" s="5">
        <v>17</v>
      </c>
      <c r="U3" s="5">
        <v>18</v>
      </c>
      <c r="V3" s="10" t="s">
        <v>196</v>
      </c>
      <c r="X3" s="5" t="s">
        <v>6</v>
      </c>
      <c r="Y3" s="5" t="s">
        <v>7</v>
      </c>
      <c r="Z3" s="60" t="s">
        <v>221</v>
      </c>
    </row>
    <row r="4" spans="1:26" ht="15" customHeight="1" x14ac:dyDescent="0.25">
      <c r="B4" s="114" t="s">
        <v>18</v>
      </c>
      <c r="C4" s="9">
        <v>2018</v>
      </c>
      <c r="D4" s="9">
        <v>1</v>
      </c>
      <c r="E4" s="9">
        <v>1</v>
      </c>
      <c r="F4" s="9">
        <v>1</v>
      </c>
      <c r="G4" s="9">
        <v>1</v>
      </c>
      <c r="H4" s="9">
        <v>1</v>
      </c>
      <c r="I4" s="9">
        <v>1</v>
      </c>
      <c r="J4" s="9">
        <v>1</v>
      </c>
      <c r="K4" s="9">
        <v>1</v>
      </c>
      <c r="L4" s="9">
        <v>1</v>
      </c>
      <c r="M4" s="9">
        <v>0</v>
      </c>
      <c r="N4" s="9">
        <v>0</v>
      </c>
      <c r="O4" s="9">
        <v>0</v>
      </c>
      <c r="P4" s="9">
        <v>0</v>
      </c>
      <c r="Q4" s="9">
        <v>0</v>
      </c>
      <c r="R4" s="9">
        <v>0</v>
      </c>
      <c r="S4" s="9">
        <v>0</v>
      </c>
      <c r="T4" s="9">
        <v>0</v>
      </c>
      <c r="U4" s="9">
        <v>1</v>
      </c>
      <c r="V4" s="10">
        <f t="shared" ref="V4:V133" si="0">SUM(D4:U4)/18</f>
        <v>0.55555555555555558</v>
      </c>
      <c r="X4" s="114" t="s">
        <v>18</v>
      </c>
      <c r="Y4" s="9">
        <v>2018</v>
      </c>
    </row>
    <row r="5" spans="1:26" ht="13.2" x14ac:dyDescent="0.25">
      <c r="B5" s="109"/>
      <c r="C5" s="9">
        <v>2019</v>
      </c>
      <c r="D5" s="9">
        <v>1</v>
      </c>
      <c r="E5" s="9">
        <v>1</v>
      </c>
      <c r="F5" s="9">
        <v>1</v>
      </c>
      <c r="G5" s="9">
        <v>1</v>
      </c>
      <c r="H5" s="9">
        <v>1</v>
      </c>
      <c r="I5" s="9">
        <v>1</v>
      </c>
      <c r="J5" s="9">
        <v>1</v>
      </c>
      <c r="K5" s="9">
        <v>1</v>
      </c>
      <c r="L5" s="9">
        <v>1</v>
      </c>
      <c r="M5" s="9">
        <v>1</v>
      </c>
      <c r="N5" s="9">
        <v>0</v>
      </c>
      <c r="O5" s="9">
        <v>0</v>
      </c>
      <c r="P5" s="9">
        <v>0</v>
      </c>
      <c r="Q5" s="9">
        <v>0</v>
      </c>
      <c r="R5" s="9">
        <v>0</v>
      </c>
      <c r="S5" s="9">
        <v>1</v>
      </c>
      <c r="T5" s="9">
        <v>1</v>
      </c>
      <c r="U5" s="9">
        <v>1</v>
      </c>
      <c r="V5" s="10">
        <f t="shared" si="0"/>
        <v>0.72222222222222221</v>
      </c>
      <c r="X5" s="109"/>
      <c r="Y5" s="9">
        <v>2019</v>
      </c>
    </row>
    <row r="6" spans="1:26" ht="13.2" x14ac:dyDescent="0.25">
      <c r="B6" s="109"/>
      <c r="C6" s="9">
        <v>2020</v>
      </c>
      <c r="D6" s="9">
        <v>1</v>
      </c>
      <c r="E6" s="9">
        <v>1</v>
      </c>
      <c r="F6" s="9">
        <v>1</v>
      </c>
      <c r="G6" s="9">
        <v>1</v>
      </c>
      <c r="H6" s="9">
        <v>1</v>
      </c>
      <c r="I6" s="9">
        <v>1</v>
      </c>
      <c r="J6" s="9">
        <v>1</v>
      </c>
      <c r="K6" s="9">
        <v>1</v>
      </c>
      <c r="L6" s="9">
        <v>1</v>
      </c>
      <c r="M6" s="9">
        <v>0</v>
      </c>
      <c r="N6" s="9">
        <v>1</v>
      </c>
      <c r="O6" s="9">
        <v>1</v>
      </c>
      <c r="P6" s="9">
        <v>1</v>
      </c>
      <c r="Q6" s="9">
        <v>1</v>
      </c>
      <c r="R6" s="9">
        <v>1</v>
      </c>
      <c r="S6" s="9">
        <v>1</v>
      </c>
      <c r="T6" s="9">
        <v>1</v>
      </c>
      <c r="U6" s="9">
        <v>1</v>
      </c>
      <c r="V6" s="10">
        <f t="shared" si="0"/>
        <v>0.94444444444444442</v>
      </c>
      <c r="X6" s="109"/>
      <c r="Y6" s="9">
        <v>2020</v>
      </c>
    </row>
    <row r="7" spans="1:26" ht="13.2" x14ac:dyDescent="0.25">
      <c r="B7" s="109"/>
      <c r="C7" s="9">
        <v>2021</v>
      </c>
      <c r="D7" s="9">
        <v>1</v>
      </c>
      <c r="E7" s="9">
        <v>1</v>
      </c>
      <c r="F7" s="9">
        <v>1</v>
      </c>
      <c r="G7" s="9">
        <v>1</v>
      </c>
      <c r="H7" s="9">
        <v>1</v>
      </c>
      <c r="I7" s="9">
        <v>1</v>
      </c>
      <c r="J7" s="9">
        <v>1</v>
      </c>
      <c r="K7" s="9">
        <v>1</v>
      </c>
      <c r="L7" s="9">
        <v>1</v>
      </c>
      <c r="M7" s="9">
        <v>0</v>
      </c>
      <c r="N7" s="9">
        <v>0</v>
      </c>
      <c r="O7" s="9">
        <v>0</v>
      </c>
      <c r="P7" s="9">
        <v>0</v>
      </c>
      <c r="Q7" s="9">
        <v>0</v>
      </c>
      <c r="R7" s="9">
        <v>0</v>
      </c>
      <c r="S7" s="9">
        <v>0</v>
      </c>
      <c r="T7" s="9">
        <v>1</v>
      </c>
      <c r="U7" s="9">
        <v>1</v>
      </c>
      <c r="V7" s="10">
        <f t="shared" si="0"/>
        <v>0.61111111111111116</v>
      </c>
      <c r="X7" s="109"/>
      <c r="Y7" s="9">
        <v>2021</v>
      </c>
    </row>
    <row r="8" spans="1:26" ht="13.8" thickBot="1" x14ac:dyDescent="0.3">
      <c r="B8" s="110"/>
      <c r="C8" s="9">
        <v>2022</v>
      </c>
      <c r="D8" s="9">
        <v>1</v>
      </c>
      <c r="E8" s="9">
        <v>1</v>
      </c>
      <c r="F8" s="9">
        <v>1</v>
      </c>
      <c r="G8" s="9">
        <v>0</v>
      </c>
      <c r="H8" s="9">
        <v>0</v>
      </c>
      <c r="I8" s="9">
        <v>1</v>
      </c>
      <c r="J8" s="9">
        <v>1</v>
      </c>
      <c r="K8" s="9">
        <v>1</v>
      </c>
      <c r="L8" s="9">
        <v>1</v>
      </c>
      <c r="M8" s="9">
        <v>1</v>
      </c>
      <c r="N8" s="9">
        <v>0</v>
      </c>
      <c r="O8" s="9">
        <v>1</v>
      </c>
      <c r="P8" s="9">
        <v>0</v>
      </c>
      <c r="Q8" s="9">
        <v>0</v>
      </c>
      <c r="R8" s="9">
        <v>1</v>
      </c>
      <c r="S8" s="9">
        <v>1</v>
      </c>
      <c r="T8" s="9">
        <v>1</v>
      </c>
      <c r="U8" s="9">
        <v>1</v>
      </c>
      <c r="V8" s="10">
        <f t="shared" si="0"/>
        <v>0.72222222222222221</v>
      </c>
      <c r="X8" s="110"/>
      <c r="Y8" s="9">
        <v>2022</v>
      </c>
    </row>
    <row r="9" spans="1:26" ht="13.2" x14ac:dyDescent="0.25">
      <c r="B9" s="108" t="s">
        <v>39</v>
      </c>
      <c r="C9" s="9">
        <v>2018</v>
      </c>
      <c r="D9" s="9">
        <v>1</v>
      </c>
      <c r="E9" s="9">
        <v>1</v>
      </c>
      <c r="F9" s="9">
        <v>1</v>
      </c>
      <c r="G9" s="9">
        <v>0</v>
      </c>
      <c r="H9" s="9">
        <v>0</v>
      </c>
      <c r="I9" s="9">
        <v>0</v>
      </c>
      <c r="J9" s="9">
        <v>0</v>
      </c>
      <c r="K9" s="9">
        <v>1</v>
      </c>
      <c r="L9" s="9">
        <v>1</v>
      </c>
      <c r="M9" s="9">
        <v>0</v>
      </c>
      <c r="N9" s="9">
        <v>0</v>
      </c>
      <c r="O9" s="9">
        <v>0</v>
      </c>
      <c r="P9" s="9">
        <v>0</v>
      </c>
      <c r="Q9" s="9">
        <v>0</v>
      </c>
      <c r="R9" s="9">
        <v>0</v>
      </c>
      <c r="S9" s="9">
        <v>0</v>
      </c>
      <c r="T9" s="9">
        <v>0</v>
      </c>
      <c r="U9" s="9">
        <v>0</v>
      </c>
      <c r="V9" s="10">
        <f t="shared" si="0"/>
        <v>0.27777777777777779</v>
      </c>
      <c r="X9" s="108" t="s">
        <v>39</v>
      </c>
      <c r="Y9" s="9">
        <v>2018</v>
      </c>
    </row>
    <row r="10" spans="1:26" ht="13.2" x14ac:dyDescent="0.25">
      <c r="B10" s="109"/>
      <c r="C10" s="9">
        <v>2019</v>
      </c>
      <c r="D10" s="9">
        <v>1</v>
      </c>
      <c r="E10" s="9">
        <v>1</v>
      </c>
      <c r="F10" s="9">
        <v>1</v>
      </c>
      <c r="G10" s="9">
        <v>1</v>
      </c>
      <c r="H10" s="9">
        <v>0</v>
      </c>
      <c r="I10" s="9">
        <v>1</v>
      </c>
      <c r="J10" s="9">
        <v>0</v>
      </c>
      <c r="K10" s="9">
        <v>1</v>
      </c>
      <c r="L10" s="9">
        <v>1</v>
      </c>
      <c r="M10" s="9">
        <v>0</v>
      </c>
      <c r="N10" s="9">
        <v>0</v>
      </c>
      <c r="O10" s="9">
        <v>1</v>
      </c>
      <c r="P10" s="9">
        <v>0</v>
      </c>
      <c r="Q10" s="9">
        <v>1</v>
      </c>
      <c r="R10" s="9">
        <v>0</v>
      </c>
      <c r="S10" s="9">
        <v>0</v>
      </c>
      <c r="T10" s="9">
        <v>1</v>
      </c>
      <c r="U10" s="9">
        <v>1</v>
      </c>
      <c r="V10" s="10">
        <f t="shared" si="0"/>
        <v>0.61111111111111116</v>
      </c>
      <c r="X10" s="109"/>
      <c r="Y10" s="9">
        <v>2019</v>
      </c>
    </row>
    <row r="11" spans="1:26" ht="13.2" x14ac:dyDescent="0.25">
      <c r="B11" s="109"/>
      <c r="C11" s="9">
        <v>2020</v>
      </c>
      <c r="D11" s="9">
        <v>1</v>
      </c>
      <c r="E11" s="9">
        <v>1</v>
      </c>
      <c r="F11" s="9">
        <v>1</v>
      </c>
      <c r="G11" s="9">
        <v>1</v>
      </c>
      <c r="H11" s="9">
        <v>1</v>
      </c>
      <c r="I11" s="9">
        <v>0</v>
      </c>
      <c r="J11" s="9">
        <v>0</v>
      </c>
      <c r="K11" s="9">
        <v>1</v>
      </c>
      <c r="L11" s="9">
        <v>1</v>
      </c>
      <c r="M11" s="9">
        <v>0</v>
      </c>
      <c r="N11" s="9">
        <v>0</v>
      </c>
      <c r="O11" s="9">
        <v>1</v>
      </c>
      <c r="P11" s="9">
        <v>0</v>
      </c>
      <c r="Q11" s="9">
        <v>1</v>
      </c>
      <c r="R11" s="9">
        <v>0</v>
      </c>
      <c r="S11" s="9">
        <v>0</v>
      </c>
      <c r="T11" s="9">
        <v>1</v>
      </c>
      <c r="U11" s="9">
        <v>1</v>
      </c>
      <c r="V11" s="10">
        <f t="shared" si="0"/>
        <v>0.61111111111111116</v>
      </c>
      <c r="X11" s="109"/>
      <c r="Y11" s="9">
        <v>2020</v>
      </c>
    </row>
    <row r="12" spans="1:26" ht="13.2" x14ac:dyDescent="0.25">
      <c r="B12" s="109"/>
      <c r="C12" s="9">
        <v>2021</v>
      </c>
      <c r="D12" s="9">
        <v>1</v>
      </c>
      <c r="E12" s="9">
        <v>1</v>
      </c>
      <c r="F12" s="9">
        <v>1</v>
      </c>
      <c r="G12" s="9">
        <v>1</v>
      </c>
      <c r="H12" s="9">
        <v>1</v>
      </c>
      <c r="I12" s="9">
        <v>0</v>
      </c>
      <c r="J12" s="9">
        <v>0</v>
      </c>
      <c r="K12" s="9">
        <v>1</v>
      </c>
      <c r="L12" s="9">
        <v>1</v>
      </c>
      <c r="M12" s="9">
        <v>0</v>
      </c>
      <c r="N12" s="9">
        <v>1</v>
      </c>
      <c r="O12" s="9">
        <v>1</v>
      </c>
      <c r="P12" s="9">
        <v>1</v>
      </c>
      <c r="Q12" s="9">
        <v>1</v>
      </c>
      <c r="R12" s="9">
        <v>1</v>
      </c>
      <c r="S12" s="9">
        <v>0</v>
      </c>
      <c r="T12" s="9">
        <v>1</v>
      </c>
      <c r="U12" s="9">
        <v>1</v>
      </c>
      <c r="V12" s="10">
        <f t="shared" si="0"/>
        <v>0.77777777777777779</v>
      </c>
      <c r="X12" s="109"/>
      <c r="Y12" s="9">
        <v>2021</v>
      </c>
    </row>
    <row r="13" spans="1:26" ht="13.8" thickBot="1" x14ac:dyDescent="0.3">
      <c r="B13" s="110"/>
      <c r="C13" s="9">
        <v>2022</v>
      </c>
      <c r="D13" s="9">
        <v>1</v>
      </c>
      <c r="E13" s="9">
        <v>1</v>
      </c>
      <c r="F13" s="9">
        <v>1</v>
      </c>
      <c r="G13" s="9">
        <v>1</v>
      </c>
      <c r="H13" s="9">
        <v>1</v>
      </c>
      <c r="I13" s="9">
        <v>1</v>
      </c>
      <c r="J13" s="9">
        <v>1</v>
      </c>
      <c r="K13" s="9">
        <v>1</v>
      </c>
      <c r="L13" s="9">
        <v>1</v>
      </c>
      <c r="M13" s="9">
        <v>0</v>
      </c>
      <c r="N13" s="9">
        <v>1</v>
      </c>
      <c r="O13" s="9">
        <v>1</v>
      </c>
      <c r="P13" s="9">
        <v>1</v>
      </c>
      <c r="Q13" s="9">
        <v>1</v>
      </c>
      <c r="R13" s="9">
        <v>1</v>
      </c>
      <c r="S13" s="9">
        <v>1</v>
      </c>
      <c r="T13" s="9">
        <v>1</v>
      </c>
      <c r="U13" s="9">
        <v>1</v>
      </c>
      <c r="V13" s="10">
        <f t="shared" si="0"/>
        <v>0.94444444444444442</v>
      </c>
      <c r="X13" s="110"/>
      <c r="Y13" s="9">
        <v>2022</v>
      </c>
    </row>
    <row r="14" spans="1:26" ht="13.2" x14ac:dyDescent="0.25">
      <c r="B14" s="108" t="s">
        <v>60</v>
      </c>
      <c r="C14" s="9">
        <v>2018</v>
      </c>
      <c r="D14" s="9">
        <v>1</v>
      </c>
      <c r="E14" s="9">
        <v>1</v>
      </c>
      <c r="F14" s="9">
        <v>1</v>
      </c>
      <c r="G14" s="9">
        <v>1</v>
      </c>
      <c r="H14" s="9">
        <v>0</v>
      </c>
      <c r="I14" s="9">
        <v>0</v>
      </c>
      <c r="J14" s="9">
        <v>1</v>
      </c>
      <c r="K14" s="9">
        <v>1</v>
      </c>
      <c r="L14" s="9">
        <v>1</v>
      </c>
      <c r="M14" s="9">
        <v>1</v>
      </c>
      <c r="N14" s="9">
        <v>1</v>
      </c>
      <c r="O14" s="9">
        <v>1</v>
      </c>
      <c r="P14" s="9">
        <v>0</v>
      </c>
      <c r="Q14" s="9">
        <v>1</v>
      </c>
      <c r="R14" s="9">
        <v>0</v>
      </c>
      <c r="S14" s="9">
        <v>1</v>
      </c>
      <c r="T14" s="9">
        <v>1</v>
      </c>
      <c r="U14" s="9">
        <v>0</v>
      </c>
      <c r="V14" s="10">
        <f t="shared" si="0"/>
        <v>0.72222222222222221</v>
      </c>
      <c r="X14" s="108" t="s">
        <v>60</v>
      </c>
      <c r="Y14" s="9">
        <v>2018</v>
      </c>
    </row>
    <row r="15" spans="1:26" ht="13.2" x14ac:dyDescent="0.25">
      <c r="B15" s="109"/>
      <c r="C15" s="9">
        <v>2019</v>
      </c>
      <c r="D15" s="9">
        <v>1</v>
      </c>
      <c r="E15" s="9">
        <v>1</v>
      </c>
      <c r="F15" s="9">
        <v>0</v>
      </c>
      <c r="G15" s="9">
        <v>1</v>
      </c>
      <c r="H15" s="9">
        <v>1</v>
      </c>
      <c r="I15" s="9">
        <v>1</v>
      </c>
      <c r="J15" s="9">
        <v>1</v>
      </c>
      <c r="K15" s="9">
        <v>1</v>
      </c>
      <c r="L15" s="9">
        <v>1</v>
      </c>
      <c r="M15" s="9">
        <v>1</v>
      </c>
      <c r="N15" s="9">
        <v>1</v>
      </c>
      <c r="O15" s="9">
        <v>1</v>
      </c>
      <c r="P15" s="9">
        <v>1</v>
      </c>
      <c r="Q15" s="9">
        <v>0</v>
      </c>
      <c r="R15" s="9">
        <v>0</v>
      </c>
      <c r="S15" s="9">
        <v>1</v>
      </c>
      <c r="T15" s="9">
        <v>1</v>
      </c>
      <c r="U15" s="9">
        <v>1</v>
      </c>
      <c r="V15" s="10">
        <f t="shared" si="0"/>
        <v>0.83333333333333337</v>
      </c>
      <c r="X15" s="109"/>
      <c r="Y15" s="9">
        <v>2019</v>
      </c>
    </row>
    <row r="16" spans="1:26" ht="13.2" x14ac:dyDescent="0.25">
      <c r="B16" s="109"/>
      <c r="C16" s="9">
        <v>2020</v>
      </c>
      <c r="D16" s="9">
        <v>1</v>
      </c>
      <c r="E16" s="9">
        <v>1</v>
      </c>
      <c r="F16" s="9">
        <v>0</v>
      </c>
      <c r="G16" s="9">
        <v>0</v>
      </c>
      <c r="H16" s="9">
        <v>1</v>
      </c>
      <c r="I16" s="9">
        <v>1</v>
      </c>
      <c r="J16" s="9">
        <v>0</v>
      </c>
      <c r="K16" s="9">
        <v>1</v>
      </c>
      <c r="L16" s="9">
        <v>1</v>
      </c>
      <c r="M16" s="9">
        <v>1</v>
      </c>
      <c r="N16" s="9">
        <v>0</v>
      </c>
      <c r="O16" s="9">
        <v>1</v>
      </c>
      <c r="P16" s="9">
        <v>1</v>
      </c>
      <c r="Q16" s="9">
        <v>0</v>
      </c>
      <c r="R16" s="9">
        <v>1</v>
      </c>
      <c r="S16" s="9">
        <v>1</v>
      </c>
      <c r="T16" s="9">
        <v>0</v>
      </c>
      <c r="U16" s="9">
        <v>0</v>
      </c>
      <c r="V16" s="10">
        <f t="shared" si="0"/>
        <v>0.61111111111111116</v>
      </c>
      <c r="X16" s="109"/>
      <c r="Y16" s="9">
        <v>2020</v>
      </c>
    </row>
    <row r="17" spans="2:25" ht="13.2" x14ac:dyDescent="0.25">
      <c r="B17" s="109"/>
      <c r="C17" s="9">
        <v>2021</v>
      </c>
      <c r="D17" s="9">
        <v>1</v>
      </c>
      <c r="E17" s="9">
        <v>1</v>
      </c>
      <c r="F17" s="9">
        <v>1</v>
      </c>
      <c r="G17" s="9">
        <v>1</v>
      </c>
      <c r="H17" s="9">
        <v>1</v>
      </c>
      <c r="I17" s="9">
        <v>0</v>
      </c>
      <c r="J17" s="9">
        <v>0</v>
      </c>
      <c r="K17" s="9">
        <v>1</v>
      </c>
      <c r="L17" s="9">
        <v>1</v>
      </c>
      <c r="M17" s="9">
        <v>0</v>
      </c>
      <c r="N17" s="9">
        <v>0</v>
      </c>
      <c r="O17" s="9">
        <v>0</v>
      </c>
      <c r="P17" s="9">
        <v>0</v>
      </c>
      <c r="Q17" s="9">
        <v>1</v>
      </c>
      <c r="R17" s="9">
        <v>0</v>
      </c>
      <c r="S17" s="9">
        <v>0</v>
      </c>
      <c r="T17" s="9">
        <v>0</v>
      </c>
      <c r="U17" s="9">
        <v>1</v>
      </c>
      <c r="V17" s="10">
        <f t="shared" si="0"/>
        <v>0.5</v>
      </c>
      <c r="X17" s="109"/>
      <c r="Y17" s="9">
        <v>2021</v>
      </c>
    </row>
    <row r="18" spans="2:25" ht="13.8" thickBot="1" x14ac:dyDescent="0.3">
      <c r="B18" s="110"/>
      <c r="C18" s="9">
        <v>2022</v>
      </c>
      <c r="D18" s="9">
        <v>1</v>
      </c>
      <c r="E18" s="9">
        <v>1</v>
      </c>
      <c r="F18" s="9">
        <v>0</v>
      </c>
      <c r="G18" s="9">
        <v>1</v>
      </c>
      <c r="H18" s="9">
        <v>1</v>
      </c>
      <c r="I18" s="9">
        <v>0</v>
      </c>
      <c r="J18" s="9">
        <v>1</v>
      </c>
      <c r="K18" s="9">
        <v>1</v>
      </c>
      <c r="L18" s="9">
        <v>1</v>
      </c>
      <c r="M18" s="9">
        <v>0</v>
      </c>
      <c r="N18" s="9">
        <v>1</v>
      </c>
      <c r="O18" s="9">
        <v>0</v>
      </c>
      <c r="P18" s="9">
        <v>1</v>
      </c>
      <c r="Q18" s="9">
        <v>1</v>
      </c>
      <c r="R18" s="9">
        <v>0</v>
      </c>
      <c r="S18" s="9">
        <v>0</v>
      </c>
      <c r="T18" s="9">
        <v>0</v>
      </c>
      <c r="U18" s="9">
        <v>1</v>
      </c>
      <c r="V18" s="10">
        <f t="shared" si="0"/>
        <v>0.61111111111111116</v>
      </c>
      <c r="X18" s="110"/>
      <c r="Y18" s="9">
        <v>2022</v>
      </c>
    </row>
    <row r="19" spans="2:25" ht="13.2" x14ac:dyDescent="0.25">
      <c r="B19" s="108" t="s">
        <v>81</v>
      </c>
      <c r="C19" s="9">
        <v>2018</v>
      </c>
      <c r="D19" s="9">
        <v>1</v>
      </c>
      <c r="E19" s="9">
        <v>1</v>
      </c>
      <c r="F19" s="9">
        <v>0</v>
      </c>
      <c r="G19" s="9">
        <v>1</v>
      </c>
      <c r="H19" s="9">
        <v>0</v>
      </c>
      <c r="I19" s="9">
        <v>0</v>
      </c>
      <c r="J19" s="9">
        <v>0</v>
      </c>
      <c r="K19" s="9">
        <v>1</v>
      </c>
      <c r="L19" s="9">
        <v>1</v>
      </c>
      <c r="M19" s="9">
        <v>1</v>
      </c>
      <c r="N19" s="9">
        <v>1</v>
      </c>
      <c r="O19" s="9">
        <v>0</v>
      </c>
      <c r="P19" s="9">
        <v>1</v>
      </c>
      <c r="Q19" s="9">
        <v>1</v>
      </c>
      <c r="R19" s="9">
        <v>1</v>
      </c>
      <c r="S19" s="9">
        <v>0</v>
      </c>
      <c r="T19" s="9">
        <v>0</v>
      </c>
      <c r="U19" s="9">
        <v>0</v>
      </c>
      <c r="V19" s="10">
        <f t="shared" si="0"/>
        <v>0.55555555555555558</v>
      </c>
      <c r="X19" s="108" t="s">
        <v>81</v>
      </c>
      <c r="Y19" s="9">
        <v>2018</v>
      </c>
    </row>
    <row r="20" spans="2:25" ht="13.2" x14ac:dyDescent="0.25">
      <c r="B20" s="109"/>
      <c r="C20" s="9">
        <v>2019</v>
      </c>
      <c r="D20" s="9">
        <v>1</v>
      </c>
      <c r="E20" s="9">
        <v>1</v>
      </c>
      <c r="F20" s="9">
        <v>1</v>
      </c>
      <c r="G20" s="9">
        <v>0</v>
      </c>
      <c r="H20" s="9">
        <v>1</v>
      </c>
      <c r="I20" s="9">
        <v>1</v>
      </c>
      <c r="J20" s="9">
        <v>0</v>
      </c>
      <c r="K20" s="9">
        <v>1</v>
      </c>
      <c r="L20" s="9">
        <v>1</v>
      </c>
      <c r="M20" s="9">
        <v>0</v>
      </c>
      <c r="N20" s="9">
        <v>1</v>
      </c>
      <c r="O20" s="9">
        <v>1</v>
      </c>
      <c r="P20" s="9">
        <v>1</v>
      </c>
      <c r="Q20" s="9">
        <v>0</v>
      </c>
      <c r="R20" s="9">
        <v>0</v>
      </c>
      <c r="S20" s="9">
        <v>0</v>
      </c>
      <c r="T20" s="9">
        <v>0</v>
      </c>
      <c r="U20" s="9">
        <v>0</v>
      </c>
      <c r="V20" s="10">
        <f t="shared" si="0"/>
        <v>0.55555555555555558</v>
      </c>
      <c r="X20" s="109"/>
      <c r="Y20" s="9">
        <v>2019</v>
      </c>
    </row>
    <row r="21" spans="2:25" ht="13.2" x14ac:dyDescent="0.25">
      <c r="B21" s="109"/>
      <c r="C21" s="9">
        <v>2020</v>
      </c>
      <c r="D21" s="9">
        <v>1</v>
      </c>
      <c r="E21" s="9">
        <v>1</v>
      </c>
      <c r="F21" s="9">
        <v>0</v>
      </c>
      <c r="G21" s="9">
        <v>1</v>
      </c>
      <c r="H21" s="9">
        <v>1</v>
      </c>
      <c r="I21" s="9">
        <v>1</v>
      </c>
      <c r="J21" s="9">
        <v>0</v>
      </c>
      <c r="K21" s="9">
        <v>1</v>
      </c>
      <c r="L21" s="9">
        <v>1</v>
      </c>
      <c r="M21" s="9">
        <v>0</v>
      </c>
      <c r="N21" s="9">
        <v>0</v>
      </c>
      <c r="O21" s="9">
        <v>1</v>
      </c>
      <c r="P21" s="9">
        <v>1</v>
      </c>
      <c r="Q21" s="9">
        <v>0</v>
      </c>
      <c r="R21" s="9">
        <v>0</v>
      </c>
      <c r="S21" s="9">
        <v>0</v>
      </c>
      <c r="T21" s="9">
        <v>0</v>
      </c>
      <c r="U21" s="9">
        <v>1</v>
      </c>
      <c r="V21" s="10">
        <f t="shared" si="0"/>
        <v>0.55555555555555558</v>
      </c>
      <c r="X21" s="109"/>
      <c r="Y21" s="9">
        <v>2020</v>
      </c>
    </row>
    <row r="22" spans="2:25" ht="13.2" x14ac:dyDescent="0.25">
      <c r="B22" s="109"/>
      <c r="C22" s="9">
        <v>2021</v>
      </c>
      <c r="D22" s="9">
        <v>1</v>
      </c>
      <c r="E22" s="9">
        <v>1</v>
      </c>
      <c r="F22" s="9">
        <v>1</v>
      </c>
      <c r="G22" s="9">
        <v>1</v>
      </c>
      <c r="H22" s="9">
        <v>0</v>
      </c>
      <c r="I22" s="9">
        <v>0</v>
      </c>
      <c r="J22" s="9">
        <v>0</v>
      </c>
      <c r="K22" s="9">
        <v>1</v>
      </c>
      <c r="L22" s="9">
        <v>1</v>
      </c>
      <c r="M22" s="9">
        <v>0</v>
      </c>
      <c r="N22" s="9">
        <v>0</v>
      </c>
      <c r="O22" s="9">
        <v>0</v>
      </c>
      <c r="P22" s="9">
        <v>1</v>
      </c>
      <c r="Q22" s="9">
        <v>0</v>
      </c>
      <c r="R22" s="9">
        <v>0</v>
      </c>
      <c r="S22" s="9">
        <v>1</v>
      </c>
      <c r="T22" s="9">
        <v>0</v>
      </c>
      <c r="U22" s="9">
        <v>1</v>
      </c>
      <c r="V22" s="10">
        <f t="shared" si="0"/>
        <v>0.5</v>
      </c>
      <c r="X22" s="109"/>
      <c r="Y22" s="9">
        <v>2021</v>
      </c>
    </row>
    <row r="23" spans="2:25" ht="13.8" thickBot="1" x14ac:dyDescent="0.3">
      <c r="B23" s="110"/>
      <c r="C23" s="9">
        <v>2022</v>
      </c>
      <c r="D23" s="9">
        <v>1</v>
      </c>
      <c r="E23" s="9">
        <v>1</v>
      </c>
      <c r="F23" s="9">
        <v>0</v>
      </c>
      <c r="G23" s="9">
        <v>1</v>
      </c>
      <c r="H23" s="9">
        <v>0</v>
      </c>
      <c r="I23" s="9">
        <v>1</v>
      </c>
      <c r="J23" s="9">
        <v>1</v>
      </c>
      <c r="K23" s="9">
        <v>1</v>
      </c>
      <c r="L23" s="9">
        <v>1</v>
      </c>
      <c r="M23" s="9">
        <v>1</v>
      </c>
      <c r="N23" s="9">
        <v>0</v>
      </c>
      <c r="O23" s="9">
        <v>0</v>
      </c>
      <c r="P23" s="9">
        <v>0</v>
      </c>
      <c r="Q23" s="9">
        <v>0</v>
      </c>
      <c r="R23" s="9">
        <v>1</v>
      </c>
      <c r="S23" s="9">
        <v>1</v>
      </c>
      <c r="T23" s="9">
        <v>0</v>
      </c>
      <c r="U23" s="9">
        <v>1</v>
      </c>
      <c r="V23" s="10">
        <f t="shared" si="0"/>
        <v>0.61111111111111116</v>
      </c>
      <c r="X23" s="110"/>
      <c r="Y23" s="9">
        <v>2022</v>
      </c>
    </row>
    <row r="24" spans="2:25" ht="13.2" x14ac:dyDescent="0.25">
      <c r="B24" s="108" t="s">
        <v>98</v>
      </c>
      <c r="C24" s="9">
        <v>2018</v>
      </c>
      <c r="D24" s="9">
        <v>1</v>
      </c>
      <c r="E24" s="9">
        <v>1</v>
      </c>
      <c r="F24" s="9">
        <v>0</v>
      </c>
      <c r="G24" s="9">
        <v>0</v>
      </c>
      <c r="H24" s="9">
        <v>0</v>
      </c>
      <c r="I24" s="9">
        <v>1</v>
      </c>
      <c r="J24" s="9">
        <v>1</v>
      </c>
      <c r="K24" s="9">
        <v>1</v>
      </c>
      <c r="L24" s="9">
        <v>1</v>
      </c>
      <c r="M24" s="9">
        <v>1</v>
      </c>
      <c r="N24" s="9">
        <v>0</v>
      </c>
      <c r="O24" s="9">
        <v>1</v>
      </c>
      <c r="P24" s="9">
        <v>1</v>
      </c>
      <c r="Q24" s="9">
        <v>1</v>
      </c>
      <c r="R24" s="9">
        <v>1</v>
      </c>
      <c r="S24" s="9">
        <v>1</v>
      </c>
      <c r="T24" s="9">
        <v>0</v>
      </c>
      <c r="U24" s="9">
        <v>1</v>
      </c>
      <c r="V24" s="10">
        <f t="shared" si="0"/>
        <v>0.72222222222222221</v>
      </c>
      <c r="X24" s="108" t="s">
        <v>98</v>
      </c>
      <c r="Y24" s="9">
        <v>2018</v>
      </c>
    </row>
    <row r="25" spans="2:25" ht="13.2" x14ac:dyDescent="0.25">
      <c r="B25" s="109"/>
      <c r="C25" s="9">
        <v>2019</v>
      </c>
      <c r="D25" s="9">
        <v>1</v>
      </c>
      <c r="E25" s="9">
        <v>1</v>
      </c>
      <c r="F25" s="9">
        <v>1</v>
      </c>
      <c r="G25" s="9">
        <v>0</v>
      </c>
      <c r="H25" s="9">
        <v>0</v>
      </c>
      <c r="I25" s="9">
        <v>0</v>
      </c>
      <c r="J25" s="9">
        <v>0</v>
      </c>
      <c r="K25" s="9">
        <v>1</v>
      </c>
      <c r="L25" s="9">
        <v>1</v>
      </c>
      <c r="M25" s="9">
        <v>1</v>
      </c>
      <c r="N25" s="9">
        <v>0</v>
      </c>
      <c r="O25" s="9">
        <v>0</v>
      </c>
      <c r="P25" s="9">
        <v>0</v>
      </c>
      <c r="Q25" s="9">
        <v>1</v>
      </c>
      <c r="R25" s="9">
        <v>1</v>
      </c>
      <c r="S25" s="9">
        <v>1</v>
      </c>
      <c r="T25" s="9">
        <v>0</v>
      </c>
      <c r="U25" s="9">
        <v>0</v>
      </c>
      <c r="V25" s="10">
        <f t="shared" si="0"/>
        <v>0.5</v>
      </c>
      <c r="X25" s="109"/>
      <c r="Y25" s="9">
        <v>2019</v>
      </c>
    </row>
    <row r="26" spans="2:25" ht="13.2" x14ac:dyDescent="0.25">
      <c r="B26" s="109"/>
      <c r="C26" s="9">
        <v>2020</v>
      </c>
      <c r="D26" s="9">
        <v>1</v>
      </c>
      <c r="E26" s="9">
        <v>1</v>
      </c>
      <c r="F26" s="9">
        <v>0</v>
      </c>
      <c r="G26" s="9">
        <v>0</v>
      </c>
      <c r="H26" s="9">
        <v>0</v>
      </c>
      <c r="I26" s="9">
        <v>0</v>
      </c>
      <c r="J26" s="9">
        <v>0</v>
      </c>
      <c r="K26" s="9">
        <v>1</v>
      </c>
      <c r="L26" s="9">
        <v>1</v>
      </c>
      <c r="M26" s="9">
        <v>0</v>
      </c>
      <c r="N26" s="9">
        <v>1</v>
      </c>
      <c r="O26" s="9">
        <v>1</v>
      </c>
      <c r="P26" s="9">
        <v>0</v>
      </c>
      <c r="Q26" s="9">
        <v>0</v>
      </c>
      <c r="R26" s="9">
        <v>0</v>
      </c>
      <c r="S26" s="9">
        <v>0</v>
      </c>
      <c r="T26" s="9">
        <v>0</v>
      </c>
      <c r="U26" s="9">
        <v>0</v>
      </c>
      <c r="V26" s="10">
        <f t="shared" si="0"/>
        <v>0.33333333333333331</v>
      </c>
      <c r="X26" s="109"/>
      <c r="Y26" s="9">
        <v>2020</v>
      </c>
    </row>
    <row r="27" spans="2:25" ht="13.2" x14ac:dyDescent="0.25">
      <c r="B27" s="109"/>
      <c r="C27" s="9">
        <v>2021</v>
      </c>
      <c r="D27" s="9">
        <v>1</v>
      </c>
      <c r="E27" s="9">
        <v>1</v>
      </c>
      <c r="F27" s="9">
        <v>1</v>
      </c>
      <c r="G27" s="9">
        <v>0</v>
      </c>
      <c r="H27" s="9">
        <v>1</v>
      </c>
      <c r="I27" s="9">
        <v>1</v>
      </c>
      <c r="J27" s="9">
        <v>0</v>
      </c>
      <c r="K27" s="9">
        <v>1</v>
      </c>
      <c r="L27" s="9">
        <v>1</v>
      </c>
      <c r="M27" s="9">
        <v>1</v>
      </c>
      <c r="N27" s="9">
        <v>1</v>
      </c>
      <c r="O27" s="9">
        <v>0</v>
      </c>
      <c r="P27" s="9">
        <v>0</v>
      </c>
      <c r="Q27" s="9">
        <v>0</v>
      </c>
      <c r="R27" s="9">
        <v>1</v>
      </c>
      <c r="S27" s="9">
        <v>0</v>
      </c>
      <c r="T27" s="9">
        <v>1</v>
      </c>
      <c r="U27" s="9">
        <v>1</v>
      </c>
      <c r="V27" s="10">
        <f t="shared" si="0"/>
        <v>0.66666666666666663</v>
      </c>
      <c r="X27" s="109"/>
      <c r="Y27" s="9">
        <v>2021</v>
      </c>
    </row>
    <row r="28" spans="2:25" ht="13.8" thickBot="1" x14ac:dyDescent="0.3">
      <c r="B28" s="110"/>
      <c r="C28" s="9">
        <v>2022</v>
      </c>
      <c r="D28" s="9">
        <v>1</v>
      </c>
      <c r="E28" s="9">
        <v>1</v>
      </c>
      <c r="F28" s="9">
        <v>0</v>
      </c>
      <c r="G28" s="9">
        <v>0</v>
      </c>
      <c r="H28" s="9">
        <v>1</v>
      </c>
      <c r="I28" s="9">
        <v>0</v>
      </c>
      <c r="J28" s="9">
        <v>0</v>
      </c>
      <c r="K28" s="9">
        <v>1</v>
      </c>
      <c r="L28" s="9">
        <v>1</v>
      </c>
      <c r="M28" s="9">
        <v>1</v>
      </c>
      <c r="N28" s="9">
        <v>0</v>
      </c>
      <c r="O28" s="9">
        <v>0</v>
      </c>
      <c r="P28" s="9">
        <v>1</v>
      </c>
      <c r="Q28" s="9">
        <v>1</v>
      </c>
      <c r="R28" s="9">
        <v>1</v>
      </c>
      <c r="S28" s="9">
        <v>0</v>
      </c>
      <c r="T28" s="9">
        <v>0</v>
      </c>
      <c r="U28" s="9">
        <v>1</v>
      </c>
      <c r="V28" s="10">
        <f t="shared" si="0"/>
        <v>0.55555555555555558</v>
      </c>
      <c r="X28" s="110"/>
      <c r="Y28" s="9">
        <v>2022</v>
      </c>
    </row>
    <row r="29" spans="2:25" ht="13.2" x14ac:dyDescent="0.25">
      <c r="B29" s="108" t="s">
        <v>114</v>
      </c>
      <c r="C29" s="9">
        <v>2018</v>
      </c>
      <c r="D29" s="9">
        <v>1</v>
      </c>
      <c r="E29" s="9">
        <v>1</v>
      </c>
      <c r="F29" s="9">
        <v>1</v>
      </c>
      <c r="G29" s="9">
        <v>1</v>
      </c>
      <c r="H29" s="9">
        <v>0</v>
      </c>
      <c r="I29" s="9">
        <v>1</v>
      </c>
      <c r="J29" s="9">
        <v>1</v>
      </c>
      <c r="K29" s="9">
        <v>1</v>
      </c>
      <c r="L29" s="9">
        <v>1</v>
      </c>
      <c r="M29" s="9">
        <v>0</v>
      </c>
      <c r="N29" s="9">
        <v>0</v>
      </c>
      <c r="O29" s="9">
        <v>1</v>
      </c>
      <c r="P29" s="9">
        <v>1</v>
      </c>
      <c r="Q29" s="9">
        <v>1</v>
      </c>
      <c r="R29" s="9">
        <v>0</v>
      </c>
      <c r="S29" s="9">
        <v>0</v>
      </c>
      <c r="T29" s="9">
        <v>1</v>
      </c>
      <c r="U29" s="9">
        <v>1</v>
      </c>
      <c r="V29" s="10">
        <f t="shared" si="0"/>
        <v>0.72222222222222221</v>
      </c>
      <c r="X29" s="108" t="s">
        <v>114</v>
      </c>
      <c r="Y29" s="9">
        <v>2018</v>
      </c>
    </row>
    <row r="30" spans="2:25" ht="13.2" x14ac:dyDescent="0.25">
      <c r="B30" s="109"/>
      <c r="C30" s="9">
        <v>2019</v>
      </c>
      <c r="D30" s="9">
        <v>1</v>
      </c>
      <c r="E30" s="9">
        <v>1</v>
      </c>
      <c r="F30" s="9">
        <v>1</v>
      </c>
      <c r="G30" s="9">
        <v>1</v>
      </c>
      <c r="H30" s="9">
        <v>1</v>
      </c>
      <c r="I30" s="9">
        <v>1</v>
      </c>
      <c r="J30" s="9">
        <v>1</v>
      </c>
      <c r="K30" s="9">
        <v>1</v>
      </c>
      <c r="L30" s="9">
        <v>1</v>
      </c>
      <c r="M30" s="9">
        <v>0</v>
      </c>
      <c r="N30" s="9">
        <v>1</v>
      </c>
      <c r="O30" s="9">
        <v>1</v>
      </c>
      <c r="P30" s="9">
        <v>1</v>
      </c>
      <c r="Q30" s="9">
        <v>1</v>
      </c>
      <c r="R30" s="9">
        <v>1</v>
      </c>
      <c r="S30" s="9">
        <v>0</v>
      </c>
      <c r="T30" s="9">
        <v>0</v>
      </c>
      <c r="U30" s="9">
        <v>0</v>
      </c>
      <c r="V30" s="10">
        <f t="shared" si="0"/>
        <v>0.77777777777777779</v>
      </c>
      <c r="X30" s="109"/>
      <c r="Y30" s="9">
        <v>2019</v>
      </c>
    </row>
    <row r="31" spans="2:25" ht="13.2" x14ac:dyDescent="0.25">
      <c r="B31" s="109"/>
      <c r="C31" s="9">
        <v>2020</v>
      </c>
      <c r="D31" s="9">
        <v>1</v>
      </c>
      <c r="E31" s="9">
        <v>1</v>
      </c>
      <c r="F31" s="9">
        <v>1</v>
      </c>
      <c r="G31" s="9">
        <v>1</v>
      </c>
      <c r="H31" s="9">
        <v>1</v>
      </c>
      <c r="I31" s="9">
        <v>0</v>
      </c>
      <c r="J31" s="9">
        <v>1</v>
      </c>
      <c r="K31" s="9">
        <v>1</v>
      </c>
      <c r="L31" s="9">
        <v>1</v>
      </c>
      <c r="M31" s="9">
        <v>0</v>
      </c>
      <c r="N31" s="9">
        <v>1</v>
      </c>
      <c r="O31" s="9">
        <v>0</v>
      </c>
      <c r="P31" s="9">
        <v>1</v>
      </c>
      <c r="Q31" s="9">
        <v>0</v>
      </c>
      <c r="R31" s="9">
        <v>0</v>
      </c>
      <c r="S31" s="9">
        <v>1</v>
      </c>
      <c r="T31" s="9">
        <v>0</v>
      </c>
      <c r="U31" s="9">
        <v>0</v>
      </c>
      <c r="V31" s="10">
        <f t="shared" si="0"/>
        <v>0.61111111111111116</v>
      </c>
      <c r="X31" s="109"/>
      <c r="Y31" s="9">
        <v>2020</v>
      </c>
    </row>
    <row r="32" spans="2:25" ht="13.2" x14ac:dyDescent="0.25">
      <c r="B32" s="109"/>
      <c r="C32" s="9">
        <v>2021</v>
      </c>
      <c r="D32" s="9">
        <v>1</v>
      </c>
      <c r="E32" s="9">
        <v>1</v>
      </c>
      <c r="F32" s="9">
        <v>1</v>
      </c>
      <c r="G32" s="9">
        <v>0</v>
      </c>
      <c r="H32" s="9">
        <v>1</v>
      </c>
      <c r="I32" s="9">
        <v>1</v>
      </c>
      <c r="J32" s="9">
        <v>0</v>
      </c>
      <c r="K32" s="9">
        <v>1</v>
      </c>
      <c r="L32" s="9">
        <v>1</v>
      </c>
      <c r="M32" s="9">
        <v>0</v>
      </c>
      <c r="N32" s="9">
        <v>1</v>
      </c>
      <c r="O32" s="9">
        <v>0</v>
      </c>
      <c r="P32" s="9">
        <v>0</v>
      </c>
      <c r="Q32" s="9">
        <v>1</v>
      </c>
      <c r="R32" s="9">
        <v>1</v>
      </c>
      <c r="S32" s="9">
        <v>0</v>
      </c>
      <c r="T32" s="9">
        <v>1</v>
      </c>
      <c r="U32" s="9">
        <v>1</v>
      </c>
      <c r="V32" s="10">
        <f t="shared" si="0"/>
        <v>0.66666666666666663</v>
      </c>
      <c r="X32" s="109"/>
      <c r="Y32" s="9">
        <v>2021</v>
      </c>
    </row>
    <row r="33" spans="2:25" ht="13.8" thickBot="1" x14ac:dyDescent="0.3">
      <c r="B33" s="110"/>
      <c r="C33" s="9">
        <v>2022</v>
      </c>
      <c r="D33" s="9">
        <v>1</v>
      </c>
      <c r="E33" s="9">
        <v>1</v>
      </c>
      <c r="F33" s="9">
        <v>1</v>
      </c>
      <c r="G33" s="9">
        <v>0</v>
      </c>
      <c r="H33" s="9">
        <v>0</v>
      </c>
      <c r="I33" s="9">
        <v>0</v>
      </c>
      <c r="J33" s="9">
        <v>0</v>
      </c>
      <c r="K33" s="9">
        <v>1</v>
      </c>
      <c r="L33" s="9">
        <v>1</v>
      </c>
      <c r="M33" s="9">
        <v>1</v>
      </c>
      <c r="N33" s="9">
        <v>0</v>
      </c>
      <c r="O33" s="9">
        <v>1</v>
      </c>
      <c r="P33" s="9">
        <v>1</v>
      </c>
      <c r="Q33" s="9">
        <v>0</v>
      </c>
      <c r="R33" s="9">
        <v>1</v>
      </c>
      <c r="S33" s="9">
        <v>0</v>
      </c>
      <c r="T33" s="9">
        <v>1</v>
      </c>
      <c r="U33" s="9">
        <v>0</v>
      </c>
      <c r="V33" s="10">
        <f t="shared" si="0"/>
        <v>0.55555555555555558</v>
      </c>
      <c r="X33" s="110"/>
      <c r="Y33" s="9">
        <v>2022</v>
      </c>
    </row>
    <row r="34" spans="2:25" ht="13.2" x14ac:dyDescent="0.25">
      <c r="B34" s="108" t="s">
        <v>129</v>
      </c>
      <c r="C34" s="9">
        <v>2018</v>
      </c>
      <c r="D34" s="9">
        <v>1</v>
      </c>
      <c r="E34" s="9">
        <v>1</v>
      </c>
      <c r="F34" s="9">
        <v>0</v>
      </c>
      <c r="G34" s="9">
        <v>0</v>
      </c>
      <c r="H34" s="9">
        <v>1</v>
      </c>
      <c r="I34" s="9">
        <v>1</v>
      </c>
      <c r="J34" s="9">
        <v>1</v>
      </c>
      <c r="K34" s="9">
        <v>1</v>
      </c>
      <c r="L34" s="9">
        <v>1</v>
      </c>
      <c r="M34" s="9">
        <v>1</v>
      </c>
      <c r="N34" s="9">
        <v>0</v>
      </c>
      <c r="O34" s="9">
        <v>0</v>
      </c>
      <c r="P34" s="9">
        <v>1</v>
      </c>
      <c r="Q34" s="9">
        <v>0</v>
      </c>
      <c r="R34" s="9">
        <v>0</v>
      </c>
      <c r="S34" s="9">
        <v>0</v>
      </c>
      <c r="T34" s="9">
        <v>1</v>
      </c>
      <c r="U34" s="9">
        <v>1</v>
      </c>
      <c r="V34" s="10">
        <f t="shared" si="0"/>
        <v>0.61111111111111116</v>
      </c>
      <c r="X34" s="108" t="s">
        <v>129</v>
      </c>
      <c r="Y34" s="9">
        <v>2018</v>
      </c>
    </row>
    <row r="35" spans="2:25" ht="13.2" x14ac:dyDescent="0.25">
      <c r="B35" s="109"/>
      <c r="C35" s="9">
        <v>2019</v>
      </c>
      <c r="D35" s="9">
        <v>1</v>
      </c>
      <c r="E35" s="9">
        <v>1</v>
      </c>
      <c r="F35" s="9">
        <v>0</v>
      </c>
      <c r="G35" s="9">
        <v>0</v>
      </c>
      <c r="H35" s="9">
        <v>1</v>
      </c>
      <c r="I35" s="9">
        <v>0</v>
      </c>
      <c r="J35" s="9">
        <v>0</v>
      </c>
      <c r="K35" s="9">
        <v>1</v>
      </c>
      <c r="L35" s="9">
        <v>1</v>
      </c>
      <c r="M35" s="9">
        <v>0</v>
      </c>
      <c r="N35" s="9">
        <v>1</v>
      </c>
      <c r="O35" s="9">
        <v>0</v>
      </c>
      <c r="P35" s="9">
        <v>0</v>
      </c>
      <c r="Q35" s="9">
        <v>0</v>
      </c>
      <c r="R35" s="9">
        <v>0</v>
      </c>
      <c r="S35" s="9">
        <v>0</v>
      </c>
      <c r="T35" s="9">
        <v>1</v>
      </c>
      <c r="U35" s="9">
        <v>0</v>
      </c>
      <c r="V35" s="10">
        <f t="shared" si="0"/>
        <v>0.3888888888888889</v>
      </c>
      <c r="X35" s="109"/>
      <c r="Y35" s="9">
        <v>2019</v>
      </c>
    </row>
    <row r="36" spans="2:25" ht="13.2" x14ac:dyDescent="0.25">
      <c r="B36" s="109"/>
      <c r="C36" s="9">
        <v>2020</v>
      </c>
      <c r="D36" s="9">
        <v>1</v>
      </c>
      <c r="E36" s="9">
        <v>1</v>
      </c>
      <c r="F36" s="9">
        <v>0</v>
      </c>
      <c r="G36" s="9">
        <v>0</v>
      </c>
      <c r="H36" s="9">
        <v>0</v>
      </c>
      <c r="I36" s="9">
        <v>1</v>
      </c>
      <c r="J36" s="9">
        <v>1</v>
      </c>
      <c r="K36" s="9">
        <v>1</v>
      </c>
      <c r="L36" s="9">
        <v>1</v>
      </c>
      <c r="M36" s="9">
        <v>0</v>
      </c>
      <c r="N36" s="9">
        <v>0</v>
      </c>
      <c r="O36" s="9">
        <v>1</v>
      </c>
      <c r="P36" s="9">
        <v>0</v>
      </c>
      <c r="Q36" s="9">
        <v>0</v>
      </c>
      <c r="R36" s="9">
        <v>0</v>
      </c>
      <c r="S36" s="9">
        <v>0</v>
      </c>
      <c r="T36" s="9">
        <v>0</v>
      </c>
      <c r="U36" s="9">
        <v>1</v>
      </c>
      <c r="V36" s="10">
        <f t="shared" si="0"/>
        <v>0.44444444444444442</v>
      </c>
      <c r="X36" s="109"/>
      <c r="Y36" s="9">
        <v>2020</v>
      </c>
    </row>
    <row r="37" spans="2:25" ht="13.2" x14ac:dyDescent="0.25">
      <c r="B37" s="109"/>
      <c r="C37" s="9">
        <v>2021</v>
      </c>
      <c r="D37" s="9">
        <v>1</v>
      </c>
      <c r="E37" s="9">
        <v>1</v>
      </c>
      <c r="F37" s="9">
        <v>1</v>
      </c>
      <c r="G37" s="9">
        <v>1</v>
      </c>
      <c r="H37" s="9">
        <v>0</v>
      </c>
      <c r="I37" s="9">
        <v>0</v>
      </c>
      <c r="J37" s="9">
        <v>0</v>
      </c>
      <c r="K37" s="9">
        <v>1</v>
      </c>
      <c r="L37" s="9">
        <v>1</v>
      </c>
      <c r="M37" s="9">
        <v>0</v>
      </c>
      <c r="N37" s="9">
        <v>1</v>
      </c>
      <c r="O37" s="9">
        <v>0</v>
      </c>
      <c r="P37" s="9">
        <v>1</v>
      </c>
      <c r="Q37" s="9">
        <v>1</v>
      </c>
      <c r="R37" s="9">
        <v>0</v>
      </c>
      <c r="S37" s="9">
        <v>1</v>
      </c>
      <c r="T37" s="9">
        <v>1</v>
      </c>
      <c r="U37" s="9">
        <v>1</v>
      </c>
      <c r="V37" s="10">
        <f t="shared" si="0"/>
        <v>0.66666666666666663</v>
      </c>
      <c r="X37" s="109"/>
      <c r="Y37" s="9">
        <v>2021</v>
      </c>
    </row>
    <row r="38" spans="2:25" ht="13.8" thickBot="1" x14ac:dyDescent="0.3">
      <c r="B38" s="110"/>
      <c r="C38" s="9">
        <v>2022</v>
      </c>
      <c r="D38" s="9">
        <v>1</v>
      </c>
      <c r="E38" s="9">
        <v>1</v>
      </c>
      <c r="F38" s="9">
        <v>0</v>
      </c>
      <c r="G38" s="9">
        <v>1</v>
      </c>
      <c r="H38" s="9">
        <v>0</v>
      </c>
      <c r="I38" s="9">
        <v>0</v>
      </c>
      <c r="J38" s="9">
        <v>1</v>
      </c>
      <c r="K38" s="9">
        <v>1</v>
      </c>
      <c r="L38" s="9">
        <v>1</v>
      </c>
      <c r="M38" s="9">
        <v>1</v>
      </c>
      <c r="N38" s="9">
        <v>1</v>
      </c>
      <c r="O38" s="9">
        <v>0</v>
      </c>
      <c r="P38" s="9">
        <v>0</v>
      </c>
      <c r="Q38" s="9">
        <v>1</v>
      </c>
      <c r="R38" s="9">
        <v>0</v>
      </c>
      <c r="S38" s="9">
        <v>0</v>
      </c>
      <c r="T38" s="9">
        <v>0</v>
      </c>
      <c r="U38" s="9">
        <v>1</v>
      </c>
      <c r="V38" s="10">
        <f t="shared" si="0"/>
        <v>0.55555555555555558</v>
      </c>
      <c r="X38" s="110"/>
      <c r="Y38" s="9">
        <v>2022</v>
      </c>
    </row>
    <row r="39" spans="2:25" ht="13.2" x14ac:dyDescent="0.25">
      <c r="B39" s="108" t="s">
        <v>140</v>
      </c>
      <c r="C39" s="9">
        <v>2018</v>
      </c>
      <c r="D39" s="9">
        <v>1</v>
      </c>
      <c r="E39" s="9">
        <v>1</v>
      </c>
      <c r="F39" s="9">
        <v>0</v>
      </c>
      <c r="G39" s="9">
        <v>1</v>
      </c>
      <c r="H39" s="9">
        <v>1</v>
      </c>
      <c r="I39" s="9">
        <v>0</v>
      </c>
      <c r="J39" s="9">
        <v>1</v>
      </c>
      <c r="K39" s="9">
        <v>1</v>
      </c>
      <c r="L39" s="9">
        <v>1</v>
      </c>
      <c r="M39" s="9">
        <v>1</v>
      </c>
      <c r="N39" s="9">
        <v>0</v>
      </c>
      <c r="O39" s="9">
        <v>1</v>
      </c>
      <c r="P39" s="9">
        <v>0</v>
      </c>
      <c r="Q39" s="9">
        <v>0</v>
      </c>
      <c r="R39" s="9">
        <v>0</v>
      </c>
      <c r="S39" s="9">
        <v>0</v>
      </c>
      <c r="T39" s="9">
        <v>0</v>
      </c>
      <c r="U39" s="9">
        <v>1</v>
      </c>
      <c r="V39" s="10">
        <f t="shared" si="0"/>
        <v>0.55555555555555558</v>
      </c>
      <c r="X39" s="108" t="s">
        <v>140</v>
      </c>
      <c r="Y39" s="9">
        <v>2018</v>
      </c>
    </row>
    <row r="40" spans="2:25" ht="13.2" x14ac:dyDescent="0.25">
      <c r="B40" s="109"/>
      <c r="C40" s="9">
        <v>2019</v>
      </c>
      <c r="D40" s="9">
        <v>1</v>
      </c>
      <c r="E40" s="9">
        <v>1</v>
      </c>
      <c r="F40" s="9">
        <v>0</v>
      </c>
      <c r="G40" s="9">
        <v>1</v>
      </c>
      <c r="H40" s="9">
        <v>0</v>
      </c>
      <c r="I40" s="9">
        <v>0</v>
      </c>
      <c r="J40" s="9">
        <v>1</v>
      </c>
      <c r="K40" s="9">
        <v>1</v>
      </c>
      <c r="L40" s="9">
        <v>1</v>
      </c>
      <c r="M40" s="9">
        <v>0</v>
      </c>
      <c r="N40" s="9">
        <v>1</v>
      </c>
      <c r="O40" s="9">
        <v>0</v>
      </c>
      <c r="P40" s="9">
        <v>0</v>
      </c>
      <c r="Q40" s="9">
        <v>0</v>
      </c>
      <c r="R40" s="9">
        <v>1</v>
      </c>
      <c r="S40" s="9">
        <v>0</v>
      </c>
      <c r="T40" s="9">
        <v>1</v>
      </c>
      <c r="U40" s="9">
        <v>1</v>
      </c>
      <c r="V40" s="10">
        <f t="shared" si="0"/>
        <v>0.55555555555555558</v>
      </c>
      <c r="X40" s="109"/>
      <c r="Y40" s="9">
        <v>2019</v>
      </c>
    </row>
    <row r="41" spans="2:25" ht="13.2" x14ac:dyDescent="0.25">
      <c r="B41" s="109"/>
      <c r="C41" s="9">
        <v>2020</v>
      </c>
      <c r="D41" s="9">
        <v>1</v>
      </c>
      <c r="E41" s="9">
        <v>1</v>
      </c>
      <c r="F41" s="9">
        <v>0</v>
      </c>
      <c r="G41" s="9">
        <v>1</v>
      </c>
      <c r="H41" s="9">
        <v>0</v>
      </c>
      <c r="I41" s="9">
        <v>1</v>
      </c>
      <c r="J41" s="9">
        <v>0</v>
      </c>
      <c r="K41" s="9">
        <v>1</v>
      </c>
      <c r="L41" s="9">
        <v>1</v>
      </c>
      <c r="M41" s="9">
        <v>0</v>
      </c>
      <c r="N41" s="9">
        <v>1</v>
      </c>
      <c r="O41" s="9">
        <v>1</v>
      </c>
      <c r="P41" s="9">
        <v>1</v>
      </c>
      <c r="Q41" s="9">
        <v>0</v>
      </c>
      <c r="R41" s="9">
        <v>1</v>
      </c>
      <c r="S41" s="9">
        <v>0</v>
      </c>
      <c r="T41" s="9">
        <v>1</v>
      </c>
      <c r="U41" s="9">
        <v>0</v>
      </c>
      <c r="V41" s="10">
        <f t="shared" si="0"/>
        <v>0.61111111111111116</v>
      </c>
      <c r="X41" s="109"/>
      <c r="Y41" s="9">
        <v>2020</v>
      </c>
    </row>
    <row r="42" spans="2:25" ht="13.2" x14ac:dyDescent="0.25">
      <c r="B42" s="109"/>
      <c r="C42" s="9">
        <v>2021</v>
      </c>
      <c r="D42" s="9">
        <v>1</v>
      </c>
      <c r="E42" s="9">
        <v>1</v>
      </c>
      <c r="F42" s="9">
        <v>0</v>
      </c>
      <c r="G42" s="9">
        <v>0</v>
      </c>
      <c r="H42" s="9">
        <v>1</v>
      </c>
      <c r="I42" s="9">
        <v>1</v>
      </c>
      <c r="J42" s="9">
        <v>1</v>
      </c>
      <c r="K42" s="9">
        <v>1</v>
      </c>
      <c r="L42" s="9">
        <v>1</v>
      </c>
      <c r="M42" s="9">
        <v>0</v>
      </c>
      <c r="N42" s="9">
        <v>1</v>
      </c>
      <c r="O42" s="9">
        <v>1</v>
      </c>
      <c r="P42" s="9">
        <v>0</v>
      </c>
      <c r="Q42" s="9">
        <v>1</v>
      </c>
      <c r="R42" s="9">
        <v>1</v>
      </c>
      <c r="S42" s="9">
        <v>0</v>
      </c>
      <c r="T42" s="9">
        <v>0</v>
      </c>
      <c r="U42" s="9">
        <v>0</v>
      </c>
      <c r="V42" s="10">
        <f t="shared" si="0"/>
        <v>0.61111111111111116</v>
      </c>
      <c r="X42" s="109"/>
      <c r="Y42" s="9">
        <v>2021</v>
      </c>
    </row>
    <row r="43" spans="2:25" ht="13.8" thickBot="1" x14ac:dyDescent="0.3">
      <c r="B43" s="110"/>
      <c r="C43" s="9">
        <v>2022</v>
      </c>
      <c r="D43" s="9">
        <v>1</v>
      </c>
      <c r="E43" s="9">
        <v>1</v>
      </c>
      <c r="F43" s="9">
        <v>0</v>
      </c>
      <c r="G43" s="9">
        <v>0</v>
      </c>
      <c r="H43" s="9">
        <v>0</v>
      </c>
      <c r="I43" s="9">
        <v>1</v>
      </c>
      <c r="J43" s="9">
        <v>1</v>
      </c>
      <c r="K43" s="9">
        <v>1</v>
      </c>
      <c r="L43" s="9">
        <v>1</v>
      </c>
      <c r="M43" s="9">
        <v>1</v>
      </c>
      <c r="N43" s="9">
        <v>1</v>
      </c>
      <c r="O43" s="9">
        <v>0</v>
      </c>
      <c r="P43" s="9">
        <v>1</v>
      </c>
      <c r="Q43" s="9">
        <v>0</v>
      </c>
      <c r="R43" s="9">
        <v>1</v>
      </c>
      <c r="S43" s="9">
        <v>0</v>
      </c>
      <c r="T43" s="9">
        <v>1</v>
      </c>
      <c r="U43" s="9">
        <v>0</v>
      </c>
      <c r="V43" s="10">
        <f t="shared" si="0"/>
        <v>0.61111111111111116</v>
      </c>
      <c r="X43" s="110"/>
      <c r="Y43" s="9">
        <v>2022</v>
      </c>
    </row>
    <row r="44" spans="2:25" ht="13.2" x14ac:dyDescent="0.25">
      <c r="B44" s="108" t="s">
        <v>150</v>
      </c>
      <c r="C44" s="9">
        <v>2018</v>
      </c>
      <c r="D44" s="9">
        <v>1</v>
      </c>
      <c r="E44" s="9">
        <v>1</v>
      </c>
      <c r="F44" s="9">
        <v>0</v>
      </c>
      <c r="G44" s="9">
        <v>0</v>
      </c>
      <c r="H44" s="9">
        <v>1</v>
      </c>
      <c r="I44" s="9">
        <v>1</v>
      </c>
      <c r="J44" s="9">
        <v>0</v>
      </c>
      <c r="K44" s="9">
        <v>1</v>
      </c>
      <c r="L44" s="9">
        <v>1</v>
      </c>
      <c r="M44" s="9">
        <v>0</v>
      </c>
      <c r="N44" s="9">
        <v>1</v>
      </c>
      <c r="O44" s="9">
        <v>0</v>
      </c>
      <c r="P44" s="9">
        <v>0</v>
      </c>
      <c r="Q44" s="9">
        <v>1</v>
      </c>
      <c r="R44" s="9">
        <v>0</v>
      </c>
      <c r="S44" s="9">
        <v>1</v>
      </c>
      <c r="T44" s="9">
        <v>0</v>
      </c>
      <c r="U44" s="9">
        <v>0</v>
      </c>
      <c r="V44" s="10">
        <f t="shared" si="0"/>
        <v>0.5</v>
      </c>
      <c r="X44" s="108" t="s">
        <v>150</v>
      </c>
      <c r="Y44" s="9">
        <v>2018</v>
      </c>
    </row>
    <row r="45" spans="2:25" ht="13.2" x14ac:dyDescent="0.25">
      <c r="B45" s="109"/>
      <c r="C45" s="9">
        <v>2019</v>
      </c>
      <c r="D45" s="9">
        <v>1</v>
      </c>
      <c r="E45" s="9">
        <v>1</v>
      </c>
      <c r="F45" s="9">
        <v>0</v>
      </c>
      <c r="G45" s="9">
        <v>0</v>
      </c>
      <c r="H45" s="9">
        <v>1</v>
      </c>
      <c r="I45" s="9">
        <v>1</v>
      </c>
      <c r="J45" s="9">
        <v>0</v>
      </c>
      <c r="K45" s="9">
        <v>1</v>
      </c>
      <c r="L45" s="9">
        <v>1</v>
      </c>
      <c r="M45" s="9">
        <v>1</v>
      </c>
      <c r="N45" s="9">
        <v>1</v>
      </c>
      <c r="O45" s="9">
        <v>1</v>
      </c>
      <c r="P45" s="9">
        <v>0</v>
      </c>
      <c r="Q45" s="9">
        <v>0</v>
      </c>
      <c r="R45" s="9">
        <v>0</v>
      </c>
      <c r="S45" s="9">
        <v>1</v>
      </c>
      <c r="T45" s="9">
        <v>1</v>
      </c>
      <c r="U45" s="9">
        <v>0</v>
      </c>
      <c r="V45" s="10">
        <f t="shared" si="0"/>
        <v>0.61111111111111116</v>
      </c>
      <c r="X45" s="109"/>
      <c r="Y45" s="9">
        <v>2019</v>
      </c>
    </row>
    <row r="46" spans="2:25" ht="13.2" x14ac:dyDescent="0.25">
      <c r="B46" s="109"/>
      <c r="C46" s="9">
        <v>2020</v>
      </c>
      <c r="D46" s="9">
        <v>1</v>
      </c>
      <c r="E46" s="9">
        <v>1</v>
      </c>
      <c r="F46" s="9">
        <v>1</v>
      </c>
      <c r="G46" s="9">
        <v>0</v>
      </c>
      <c r="H46" s="9">
        <v>1</v>
      </c>
      <c r="I46" s="9">
        <v>1</v>
      </c>
      <c r="J46" s="9">
        <v>1</v>
      </c>
      <c r="K46" s="9">
        <v>1</v>
      </c>
      <c r="L46" s="9">
        <v>1</v>
      </c>
      <c r="M46" s="9">
        <v>0</v>
      </c>
      <c r="N46" s="9">
        <v>1</v>
      </c>
      <c r="O46" s="9">
        <v>1</v>
      </c>
      <c r="P46" s="9">
        <v>0</v>
      </c>
      <c r="Q46" s="9">
        <v>0</v>
      </c>
      <c r="R46" s="9">
        <v>0</v>
      </c>
      <c r="S46" s="9">
        <v>1</v>
      </c>
      <c r="T46" s="9">
        <v>0</v>
      </c>
      <c r="U46" s="9">
        <v>0</v>
      </c>
      <c r="V46" s="10">
        <f t="shared" si="0"/>
        <v>0.61111111111111116</v>
      </c>
      <c r="X46" s="109"/>
      <c r="Y46" s="9">
        <v>2020</v>
      </c>
    </row>
    <row r="47" spans="2:25" ht="13.2" x14ac:dyDescent="0.25">
      <c r="B47" s="109"/>
      <c r="C47" s="9">
        <v>2021</v>
      </c>
      <c r="D47" s="9">
        <v>1</v>
      </c>
      <c r="E47" s="9">
        <v>1</v>
      </c>
      <c r="F47" s="9">
        <v>1</v>
      </c>
      <c r="G47" s="9">
        <v>1</v>
      </c>
      <c r="H47" s="9">
        <v>1</v>
      </c>
      <c r="I47" s="9">
        <v>0</v>
      </c>
      <c r="J47" s="9">
        <v>1</v>
      </c>
      <c r="K47" s="9">
        <v>1</v>
      </c>
      <c r="L47" s="9">
        <v>1</v>
      </c>
      <c r="M47" s="9">
        <v>1</v>
      </c>
      <c r="N47" s="9">
        <v>1</v>
      </c>
      <c r="O47" s="9">
        <v>0</v>
      </c>
      <c r="P47" s="9">
        <v>1</v>
      </c>
      <c r="Q47" s="9">
        <v>1</v>
      </c>
      <c r="R47" s="9">
        <v>1</v>
      </c>
      <c r="S47" s="9">
        <v>0</v>
      </c>
      <c r="T47" s="9">
        <v>1</v>
      </c>
      <c r="U47" s="9">
        <v>0</v>
      </c>
      <c r="V47" s="10">
        <f t="shared" si="0"/>
        <v>0.77777777777777779</v>
      </c>
      <c r="X47" s="109"/>
      <c r="Y47" s="9">
        <v>2021</v>
      </c>
    </row>
    <row r="48" spans="2:25" ht="13.8" thickBot="1" x14ac:dyDescent="0.3">
      <c r="B48" s="110"/>
      <c r="C48" s="9">
        <v>2022</v>
      </c>
      <c r="D48" s="9">
        <v>1</v>
      </c>
      <c r="E48" s="9">
        <v>1</v>
      </c>
      <c r="F48" s="9">
        <v>1</v>
      </c>
      <c r="G48" s="9">
        <v>0</v>
      </c>
      <c r="H48" s="9">
        <v>1</v>
      </c>
      <c r="I48" s="9">
        <v>0</v>
      </c>
      <c r="J48" s="9">
        <v>0</v>
      </c>
      <c r="K48" s="9">
        <v>1</v>
      </c>
      <c r="L48" s="9">
        <v>1</v>
      </c>
      <c r="M48" s="9">
        <v>0</v>
      </c>
      <c r="N48" s="9">
        <v>0</v>
      </c>
      <c r="O48" s="9">
        <v>1</v>
      </c>
      <c r="P48" s="9">
        <v>1</v>
      </c>
      <c r="Q48" s="9">
        <v>1</v>
      </c>
      <c r="R48" s="9">
        <v>0</v>
      </c>
      <c r="S48" s="9">
        <v>0</v>
      </c>
      <c r="T48" s="9">
        <v>1</v>
      </c>
      <c r="U48" s="9">
        <v>0</v>
      </c>
      <c r="V48" s="10">
        <f t="shared" si="0"/>
        <v>0.55555555555555558</v>
      </c>
      <c r="X48" s="110"/>
      <c r="Y48" s="9">
        <v>2022</v>
      </c>
    </row>
    <row r="49" spans="2:25" ht="13.2" x14ac:dyDescent="0.25">
      <c r="B49" s="108" t="s">
        <v>156</v>
      </c>
      <c r="C49" s="9">
        <v>2018</v>
      </c>
      <c r="D49" s="9">
        <v>1</v>
      </c>
      <c r="E49" s="9">
        <v>1</v>
      </c>
      <c r="F49" s="9">
        <v>1</v>
      </c>
      <c r="G49" s="9">
        <v>0</v>
      </c>
      <c r="H49" s="9">
        <v>0</v>
      </c>
      <c r="I49" s="9">
        <v>0</v>
      </c>
      <c r="J49" s="9">
        <v>1</v>
      </c>
      <c r="K49" s="9">
        <v>1</v>
      </c>
      <c r="L49" s="9">
        <v>1</v>
      </c>
      <c r="M49" s="9">
        <v>0</v>
      </c>
      <c r="N49" s="9">
        <v>0</v>
      </c>
      <c r="O49" s="9">
        <v>1</v>
      </c>
      <c r="P49" s="9">
        <v>0</v>
      </c>
      <c r="Q49" s="9">
        <v>1</v>
      </c>
      <c r="R49" s="9">
        <v>1</v>
      </c>
      <c r="S49" s="9">
        <v>0</v>
      </c>
      <c r="T49" s="9">
        <v>1</v>
      </c>
      <c r="U49" s="9">
        <v>0</v>
      </c>
      <c r="V49" s="10">
        <f t="shared" si="0"/>
        <v>0.55555555555555558</v>
      </c>
      <c r="X49" s="108" t="s">
        <v>156</v>
      </c>
      <c r="Y49" s="9">
        <v>2018</v>
      </c>
    </row>
    <row r="50" spans="2:25" ht="13.2" x14ac:dyDescent="0.25">
      <c r="B50" s="109"/>
      <c r="C50" s="9">
        <v>2019</v>
      </c>
      <c r="D50" s="9">
        <v>1</v>
      </c>
      <c r="E50" s="9">
        <v>1</v>
      </c>
      <c r="F50" s="9">
        <v>1</v>
      </c>
      <c r="G50" s="9">
        <v>1</v>
      </c>
      <c r="H50" s="9">
        <v>0</v>
      </c>
      <c r="I50" s="9">
        <v>1</v>
      </c>
      <c r="J50" s="9">
        <v>0</v>
      </c>
      <c r="K50" s="9">
        <v>1</v>
      </c>
      <c r="L50" s="9">
        <v>1</v>
      </c>
      <c r="M50" s="9">
        <v>1</v>
      </c>
      <c r="N50" s="9">
        <v>1</v>
      </c>
      <c r="O50" s="9">
        <v>0</v>
      </c>
      <c r="P50" s="9">
        <v>0</v>
      </c>
      <c r="Q50" s="9">
        <v>1</v>
      </c>
      <c r="R50" s="9">
        <v>1</v>
      </c>
      <c r="S50" s="9">
        <v>0</v>
      </c>
      <c r="T50" s="9">
        <v>0</v>
      </c>
      <c r="U50" s="9">
        <v>0</v>
      </c>
      <c r="V50" s="10">
        <f t="shared" si="0"/>
        <v>0.61111111111111116</v>
      </c>
      <c r="X50" s="109"/>
      <c r="Y50" s="9">
        <v>2019</v>
      </c>
    </row>
    <row r="51" spans="2:25" ht="13.2" x14ac:dyDescent="0.25">
      <c r="B51" s="109"/>
      <c r="C51" s="9">
        <v>2020</v>
      </c>
      <c r="D51" s="9">
        <v>1</v>
      </c>
      <c r="E51" s="9">
        <v>1</v>
      </c>
      <c r="F51" s="9">
        <v>0</v>
      </c>
      <c r="G51" s="9">
        <v>1</v>
      </c>
      <c r="H51" s="9">
        <v>0</v>
      </c>
      <c r="I51" s="9">
        <v>1</v>
      </c>
      <c r="J51" s="9">
        <v>1</v>
      </c>
      <c r="K51" s="9">
        <v>1</v>
      </c>
      <c r="L51" s="9">
        <v>1</v>
      </c>
      <c r="M51" s="9">
        <v>0</v>
      </c>
      <c r="N51" s="9">
        <v>1</v>
      </c>
      <c r="O51" s="9">
        <v>0</v>
      </c>
      <c r="P51" s="9">
        <v>1</v>
      </c>
      <c r="Q51" s="9">
        <v>0</v>
      </c>
      <c r="R51" s="9">
        <v>1</v>
      </c>
      <c r="S51" s="9">
        <v>0</v>
      </c>
      <c r="T51" s="9">
        <v>0</v>
      </c>
      <c r="U51" s="9">
        <v>1</v>
      </c>
      <c r="V51" s="10">
        <f t="shared" si="0"/>
        <v>0.61111111111111116</v>
      </c>
      <c r="X51" s="109"/>
      <c r="Y51" s="9">
        <v>2020</v>
      </c>
    </row>
    <row r="52" spans="2:25" ht="13.2" x14ac:dyDescent="0.25">
      <c r="B52" s="109"/>
      <c r="C52" s="9">
        <v>2021</v>
      </c>
      <c r="D52" s="9">
        <v>1</v>
      </c>
      <c r="E52" s="9">
        <v>1</v>
      </c>
      <c r="F52" s="9">
        <v>1</v>
      </c>
      <c r="G52" s="9">
        <v>1</v>
      </c>
      <c r="H52" s="9">
        <v>0</v>
      </c>
      <c r="I52" s="9">
        <v>1</v>
      </c>
      <c r="J52" s="9">
        <v>1</v>
      </c>
      <c r="K52" s="9">
        <v>1</v>
      </c>
      <c r="L52" s="9">
        <v>1</v>
      </c>
      <c r="M52" s="9">
        <v>1</v>
      </c>
      <c r="N52" s="9">
        <v>0</v>
      </c>
      <c r="O52" s="9">
        <v>0</v>
      </c>
      <c r="P52" s="9">
        <v>1</v>
      </c>
      <c r="Q52" s="9">
        <v>1</v>
      </c>
      <c r="R52" s="9">
        <v>0</v>
      </c>
      <c r="S52" s="9">
        <v>1</v>
      </c>
      <c r="T52" s="9">
        <v>1</v>
      </c>
      <c r="U52" s="9">
        <v>0</v>
      </c>
      <c r="V52" s="10">
        <f t="shared" si="0"/>
        <v>0.72222222222222221</v>
      </c>
      <c r="X52" s="109"/>
      <c r="Y52" s="9">
        <v>2021</v>
      </c>
    </row>
    <row r="53" spans="2:25" ht="13.8" thickBot="1" x14ac:dyDescent="0.3">
      <c r="B53" s="110"/>
      <c r="C53" s="9">
        <v>2022</v>
      </c>
      <c r="D53" s="9">
        <v>1</v>
      </c>
      <c r="E53" s="9">
        <v>1</v>
      </c>
      <c r="F53" s="9">
        <v>0</v>
      </c>
      <c r="G53" s="9">
        <v>0</v>
      </c>
      <c r="H53" s="9">
        <v>1</v>
      </c>
      <c r="I53" s="9">
        <v>0</v>
      </c>
      <c r="J53" s="9">
        <v>1</v>
      </c>
      <c r="K53" s="9">
        <v>1</v>
      </c>
      <c r="L53" s="9">
        <v>1</v>
      </c>
      <c r="M53" s="9">
        <v>0</v>
      </c>
      <c r="N53" s="9">
        <v>1</v>
      </c>
      <c r="O53" s="9">
        <v>0</v>
      </c>
      <c r="P53" s="9">
        <v>0</v>
      </c>
      <c r="Q53" s="9">
        <v>1</v>
      </c>
      <c r="R53" s="9">
        <v>0</v>
      </c>
      <c r="S53" s="9">
        <v>0</v>
      </c>
      <c r="T53" s="9">
        <v>0</v>
      </c>
      <c r="U53" s="9">
        <v>1</v>
      </c>
      <c r="V53" s="10">
        <f t="shared" si="0"/>
        <v>0.5</v>
      </c>
      <c r="X53" s="110"/>
      <c r="Y53" s="9">
        <v>2022</v>
      </c>
    </row>
    <row r="54" spans="2:25" ht="13.2" x14ac:dyDescent="0.25">
      <c r="B54" s="108" t="s">
        <v>162</v>
      </c>
      <c r="C54" s="9">
        <v>2018</v>
      </c>
      <c r="D54" s="9">
        <v>1</v>
      </c>
      <c r="E54" s="9">
        <v>1</v>
      </c>
      <c r="F54" s="9">
        <v>0</v>
      </c>
      <c r="G54" s="9">
        <v>0</v>
      </c>
      <c r="H54" s="9">
        <v>1</v>
      </c>
      <c r="I54" s="9">
        <v>0</v>
      </c>
      <c r="J54" s="9">
        <v>1</v>
      </c>
      <c r="K54" s="9">
        <v>1</v>
      </c>
      <c r="L54" s="9">
        <v>1</v>
      </c>
      <c r="M54" s="9">
        <v>0</v>
      </c>
      <c r="N54" s="9">
        <v>0</v>
      </c>
      <c r="O54" s="9">
        <v>1</v>
      </c>
      <c r="P54" s="9">
        <v>1</v>
      </c>
      <c r="Q54" s="9">
        <v>0</v>
      </c>
      <c r="R54" s="9">
        <v>1</v>
      </c>
      <c r="S54" s="9">
        <v>0</v>
      </c>
      <c r="T54" s="9">
        <v>0</v>
      </c>
      <c r="U54" s="9">
        <v>0</v>
      </c>
      <c r="V54" s="10">
        <f t="shared" si="0"/>
        <v>0.5</v>
      </c>
      <c r="X54" s="108" t="s">
        <v>162</v>
      </c>
      <c r="Y54" s="9">
        <v>2018</v>
      </c>
    </row>
    <row r="55" spans="2:25" ht="13.2" x14ac:dyDescent="0.25">
      <c r="B55" s="109"/>
      <c r="C55" s="9">
        <v>2019</v>
      </c>
      <c r="D55" s="9">
        <v>1</v>
      </c>
      <c r="E55" s="9">
        <v>1</v>
      </c>
      <c r="F55" s="9">
        <v>1</v>
      </c>
      <c r="G55" s="9">
        <v>1</v>
      </c>
      <c r="H55" s="9">
        <v>1</v>
      </c>
      <c r="I55" s="9">
        <v>1</v>
      </c>
      <c r="J55" s="9">
        <v>0</v>
      </c>
      <c r="K55" s="9">
        <v>1</v>
      </c>
      <c r="L55" s="9">
        <v>1</v>
      </c>
      <c r="M55" s="9">
        <v>0</v>
      </c>
      <c r="N55" s="9">
        <v>0</v>
      </c>
      <c r="O55" s="9">
        <v>0</v>
      </c>
      <c r="P55" s="9">
        <v>0</v>
      </c>
      <c r="Q55" s="9">
        <v>0</v>
      </c>
      <c r="R55" s="9">
        <v>1</v>
      </c>
      <c r="S55" s="9">
        <v>1</v>
      </c>
      <c r="T55" s="9">
        <v>1</v>
      </c>
      <c r="U55" s="9">
        <v>0</v>
      </c>
      <c r="V55" s="10">
        <f t="shared" si="0"/>
        <v>0.61111111111111116</v>
      </c>
      <c r="X55" s="109"/>
      <c r="Y55" s="9">
        <v>2019</v>
      </c>
    </row>
    <row r="56" spans="2:25" ht="13.2" x14ac:dyDescent="0.25">
      <c r="B56" s="109"/>
      <c r="C56" s="9">
        <v>2020</v>
      </c>
      <c r="D56" s="9">
        <v>1</v>
      </c>
      <c r="E56" s="9">
        <v>1</v>
      </c>
      <c r="F56" s="9">
        <v>1</v>
      </c>
      <c r="G56" s="9">
        <v>0</v>
      </c>
      <c r="H56" s="9">
        <v>1</v>
      </c>
      <c r="I56" s="9">
        <v>0</v>
      </c>
      <c r="J56" s="9">
        <v>0</v>
      </c>
      <c r="K56" s="9">
        <v>1</v>
      </c>
      <c r="L56" s="9">
        <v>1</v>
      </c>
      <c r="M56" s="9">
        <v>1</v>
      </c>
      <c r="N56" s="9">
        <v>1</v>
      </c>
      <c r="O56" s="9">
        <v>1</v>
      </c>
      <c r="P56" s="9">
        <v>0</v>
      </c>
      <c r="Q56" s="9">
        <v>1</v>
      </c>
      <c r="R56" s="9">
        <v>0</v>
      </c>
      <c r="S56" s="9">
        <v>1</v>
      </c>
      <c r="T56" s="9">
        <v>1</v>
      </c>
      <c r="U56" s="9">
        <v>1</v>
      </c>
      <c r="V56" s="10">
        <f t="shared" si="0"/>
        <v>0.72222222222222221</v>
      </c>
      <c r="X56" s="109"/>
      <c r="Y56" s="9">
        <v>2020</v>
      </c>
    </row>
    <row r="57" spans="2:25" ht="13.2" x14ac:dyDescent="0.25">
      <c r="B57" s="109"/>
      <c r="C57" s="9">
        <v>2021</v>
      </c>
      <c r="D57" s="9">
        <v>1</v>
      </c>
      <c r="E57" s="9">
        <v>1</v>
      </c>
      <c r="F57" s="9">
        <v>1</v>
      </c>
      <c r="G57" s="9">
        <v>0</v>
      </c>
      <c r="H57" s="9">
        <v>0</v>
      </c>
      <c r="I57" s="9">
        <v>1</v>
      </c>
      <c r="J57" s="9">
        <v>0</v>
      </c>
      <c r="K57" s="9">
        <v>1</v>
      </c>
      <c r="L57" s="9">
        <v>1</v>
      </c>
      <c r="M57" s="9">
        <v>0</v>
      </c>
      <c r="N57" s="9">
        <v>0</v>
      </c>
      <c r="O57" s="9">
        <v>1</v>
      </c>
      <c r="P57" s="9">
        <v>0</v>
      </c>
      <c r="Q57" s="9">
        <v>0</v>
      </c>
      <c r="R57" s="9">
        <v>0</v>
      </c>
      <c r="S57" s="9">
        <v>0</v>
      </c>
      <c r="T57" s="9">
        <v>1</v>
      </c>
      <c r="U57" s="9">
        <v>1</v>
      </c>
      <c r="V57" s="10">
        <f t="shared" si="0"/>
        <v>0.5</v>
      </c>
      <c r="X57" s="109"/>
      <c r="Y57" s="9">
        <v>2021</v>
      </c>
    </row>
    <row r="58" spans="2:25" ht="13.8" thickBot="1" x14ac:dyDescent="0.3">
      <c r="B58" s="110"/>
      <c r="C58" s="9">
        <v>2022</v>
      </c>
      <c r="D58" s="9">
        <v>1</v>
      </c>
      <c r="E58" s="9">
        <v>1</v>
      </c>
      <c r="F58" s="9">
        <v>0</v>
      </c>
      <c r="G58" s="9">
        <v>1</v>
      </c>
      <c r="H58" s="9">
        <v>0</v>
      </c>
      <c r="I58" s="9">
        <v>1</v>
      </c>
      <c r="J58" s="9">
        <v>0</v>
      </c>
      <c r="K58" s="9">
        <v>1</v>
      </c>
      <c r="L58" s="9">
        <v>1</v>
      </c>
      <c r="M58" s="9">
        <v>1</v>
      </c>
      <c r="N58" s="9">
        <v>0</v>
      </c>
      <c r="O58" s="9">
        <v>0</v>
      </c>
      <c r="P58" s="9">
        <v>0</v>
      </c>
      <c r="Q58" s="9">
        <v>0</v>
      </c>
      <c r="R58" s="9">
        <v>0</v>
      </c>
      <c r="S58" s="9">
        <v>0</v>
      </c>
      <c r="T58" s="9">
        <v>0</v>
      </c>
      <c r="U58" s="9">
        <v>1</v>
      </c>
      <c r="V58" s="10">
        <f t="shared" si="0"/>
        <v>0.44444444444444442</v>
      </c>
      <c r="X58" s="110"/>
      <c r="Y58" s="9">
        <v>2022</v>
      </c>
    </row>
    <row r="59" spans="2:25" ht="13.2" x14ac:dyDescent="0.25">
      <c r="B59" s="108" t="s">
        <v>168</v>
      </c>
      <c r="C59" s="9">
        <v>2018</v>
      </c>
      <c r="D59" s="9">
        <v>1</v>
      </c>
      <c r="E59" s="9">
        <v>1</v>
      </c>
      <c r="F59" s="9">
        <v>1</v>
      </c>
      <c r="G59" s="9">
        <v>0</v>
      </c>
      <c r="H59" s="9">
        <v>0</v>
      </c>
      <c r="I59" s="9">
        <v>1</v>
      </c>
      <c r="J59" s="9">
        <v>0</v>
      </c>
      <c r="K59" s="9">
        <v>1</v>
      </c>
      <c r="L59" s="9">
        <v>1</v>
      </c>
      <c r="M59" s="9">
        <v>1</v>
      </c>
      <c r="N59" s="9">
        <v>1</v>
      </c>
      <c r="O59" s="9">
        <v>1</v>
      </c>
      <c r="P59" s="9">
        <v>1</v>
      </c>
      <c r="Q59" s="9">
        <v>0</v>
      </c>
      <c r="R59" s="9">
        <v>1</v>
      </c>
      <c r="S59" s="9">
        <v>0</v>
      </c>
      <c r="T59" s="9">
        <v>1</v>
      </c>
      <c r="U59" s="9">
        <v>0</v>
      </c>
      <c r="V59" s="10">
        <f t="shared" si="0"/>
        <v>0.66666666666666663</v>
      </c>
      <c r="X59" s="108" t="s">
        <v>168</v>
      </c>
      <c r="Y59" s="9">
        <v>2018</v>
      </c>
    </row>
    <row r="60" spans="2:25" ht="13.2" x14ac:dyDescent="0.25">
      <c r="B60" s="109"/>
      <c r="C60" s="9">
        <v>2019</v>
      </c>
      <c r="D60" s="9">
        <v>1</v>
      </c>
      <c r="E60" s="9">
        <v>1</v>
      </c>
      <c r="F60" s="9">
        <v>1</v>
      </c>
      <c r="G60" s="9">
        <v>0</v>
      </c>
      <c r="H60" s="9">
        <v>1</v>
      </c>
      <c r="I60" s="9">
        <v>1</v>
      </c>
      <c r="J60" s="9">
        <v>1</v>
      </c>
      <c r="K60" s="9">
        <v>1</v>
      </c>
      <c r="L60" s="9">
        <v>1</v>
      </c>
      <c r="M60" s="9">
        <v>1</v>
      </c>
      <c r="N60" s="9">
        <v>0</v>
      </c>
      <c r="O60" s="9">
        <v>1</v>
      </c>
      <c r="P60" s="9">
        <v>0</v>
      </c>
      <c r="Q60" s="9">
        <v>0</v>
      </c>
      <c r="R60" s="9">
        <v>0</v>
      </c>
      <c r="S60" s="9">
        <v>1</v>
      </c>
      <c r="T60" s="9">
        <v>1</v>
      </c>
      <c r="U60" s="9">
        <v>0</v>
      </c>
      <c r="V60" s="10">
        <f t="shared" si="0"/>
        <v>0.66666666666666663</v>
      </c>
      <c r="X60" s="109"/>
      <c r="Y60" s="9">
        <v>2019</v>
      </c>
    </row>
    <row r="61" spans="2:25" ht="13.2" x14ac:dyDescent="0.25">
      <c r="B61" s="109"/>
      <c r="C61" s="9">
        <v>2020</v>
      </c>
      <c r="D61" s="9">
        <v>1</v>
      </c>
      <c r="E61" s="9">
        <v>1</v>
      </c>
      <c r="F61" s="9">
        <v>1</v>
      </c>
      <c r="G61" s="9">
        <v>1</v>
      </c>
      <c r="H61" s="9">
        <v>1</v>
      </c>
      <c r="I61" s="9">
        <v>0</v>
      </c>
      <c r="J61" s="9">
        <v>0</v>
      </c>
      <c r="K61" s="9">
        <v>1</v>
      </c>
      <c r="L61" s="9">
        <v>1</v>
      </c>
      <c r="M61" s="9">
        <v>0</v>
      </c>
      <c r="N61" s="9">
        <v>1</v>
      </c>
      <c r="O61" s="9">
        <v>0</v>
      </c>
      <c r="P61" s="9">
        <v>1</v>
      </c>
      <c r="Q61" s="9">
        <v>1</v>
      </c>
      <c r="R61" s="9">
        <v>1</v>
      </c>
      <c r="S61" s="9">
        <v>1</v>
      </c>
      <c r="T61" s="9">
        <v>1</v>
      </c>
      <c r="U61" s="9">
        <v>1</v>
      </c>
      <c r="V61" s="10">
        <f t="shared" si="0"/>
        <v>0.77777777777777779</v>
      </c>
      <c r="X61" s="109"/>
      <c r="Y61" s="9">
        <v>2020</v>
      </c>
    </row>
    <row r="62" spans="2:25" ht="13.2" x14ac:dyDescent="0.25">
      <c r="B62" s="109"/>
      <c r="C62" s="9">
        <v>2021</v>
      </c>
      <c r="D62" s="9">
        <v>1</v>
      </c>
      <c r="E62" s="9">
        <v>1</v>
      </c>
      <c r="F62" s="9">
        <v>1</v>
      </c>
      <c r="G62" s="9">
        <v>1</v>
      </c>
      <c r="H62" s="9">
        <v>1</v>
      </c>
      <c r="I62" s="9">
        <v>1</v>
      </c>
      <c r="J62" s="9">
        <v>0</v>
      </c>
      <c r="K62" s="9">
        <v>1</v>
      </c>
      <c r="L62" s="9">
        <v>1</v>
      </c>
      <c r="M62" s="9">
        <v>0</v>
      </c>
      <c r="N62" s="9">
        <v>1</v>
      </c>
      <c r="O62" s="9">
        <v>0</v>
      </c>
      <c r="P62" s="9">
        <v>0</v>
      </c>
      <c r="Q62" s="9">
        <v>0</v>
      </c>
      <c r="R62" s="9">
        <v>1</v>
      </c>
      <c r="S62" s="9">
        <v>0</v>
      </c>
      <c r="T62" s="9">
        <v>0</v>
      </c>
      <c r="U62" s="9">
        <v>1</v>
      </c>
      <c r="V62" s="10">
        <f t="shared" si="0"/>
        <v>0.61111111111111116</v>
      </c>
      <c r="X62" s="109"/>
      <c r="Y62" s="9">
        <v>2021</v>
      </c>
    </row>
    <row r="63" spans="2:25" ht="13.8" thickBot="1" x14ac:dyDescent="0.3">
      <c r="B63" s="110"/>
      <c r="C63" s="9">
        <v>2022</v>
      </c>
      <c r="D63" s="9">
        <v>1</v>
      </c>
      <c r="E63" s="9">
        <v>1</v>
      </c>
      <c r="F63" s="9">
        <v>0</v>
      </c>
      <c r="G63" s="9">
        <v>1</v>
      </c>
      <c r="H63" s="9">
        <v>1</v>
      </c>
      <c r="I63" s="9">
        <v>0</v>
      </c>
      <c r="J63" s="9">
        <v>1</v>
      </c>
      <c r="K63" s="9">
        <v>1</v>
      </c>
      <c r="L63" s="9">
        <v>1</v>
      </c>
      <c r="M63" s="9">
        <v>1</v>
      </c>
      <c r="N63" s="9">
        <v>0</v>
      </c>
      <c r="O63" s="9">
        <v>1</v>
      </c>
      <c r="P63" s="9">
        <v>0</v>
      </c>
      <c r="Q63" s="9">
        <v>1</v>
      </c>
      <c r="R63" s="9">
        <v>0</v>
      </c>
      <c r="S63" s="9">
        <v>0</v>
      </c>
      <c r="T63" s="9">
        <v>0</v>
      </c>
      <c r="U63" s="9">
        <v>0</v>
      </c>
      <c r="V63" s="10">
        <f t="shared" si="0"/>
        <v>0.55555555555555558</v>
      </c>
      <c r="X63" s="110"/>
      <c r="Y63" s="9">
        <v>2022</v>
      </c>
    </row>
    <row r="64" spans="2:25" ht="13.2" x14ac:dyDescent="0.25">
      <c r="B64" s="108" t="s">
        <v>173</v>
      </c>
      <c r="C64" s="9">
        <v>2018</v>
      </c>
      <c r="D64" s="9">
        <v>1</v>
      </c>
      <c r="E64" s="9">
        <v>1</v>
      </c>
      <c r="F64" s="9">
        <v>0</v>
      </c>
      <c r="G64" s="9">
        <v>1</v>
      </c>
      <c r="H64" s="9">
        <v>0</v>
      </c>
      <c r="I64" s="9">
        <v>0</v>
      </c>
      <c r="J64" s="9">
        <v>0</v>
      </c>
      <c r="K64" s="9">
        <v>1</v>
      </c>
      <c r="L64" s="9">
        <v>1</v>
      </c>
      <c r="M64" s="9">
        <v>0</v>
      </c>
      <c r="N64" s="9">
        <v>1</v>
      </c>
      <c r="O64" s="9">
        <v>0</v>
      </c>
      <c r="P64" s="9">
        <v>0</v>
      </c>
      <c r="Q64" s="9">
        <v>1</v>
      </c>
      <c r="R64" s="9">
        <v>0</v>
      </c>
      <c r="S64" s="9">
        <v>1</v>
      </c>
      <c r="T64" s="9">
        <v>1</v>
      </c>
      <c r="U64" s="9">
        <v>0</v>
      </c>
      <c r="V64" s="10">
        <f t="shared" si="0"/>
        <v>0.5</v>
      </c>
      <c r="X64" s="108" t="s">
        <v>173</v>
      </c>
      <c r="Y64" s="9">
        <v>2018</v>
      </c>
    </row>
    <row r="65" spans="2:25" ht="13.2" x14ac:dyDescent="0.25">
      <c r="B65" s="109"/>
      <c r="C65" s="9">
        <v>2019</v>
      </c>
      <c r="D65" s="9">
        <v>1</v>
      </c>
      <c r="E65" s="9">
        <v>1</v>
      </c>
      <c r="F65" s="9">
        <v>1</v>
      </c>
      <c r="G65" s="9">
        <v>0</v>
      </c>
      <c r="H65" s="9">
        <v>1</v>
      </c>
      <c r="I65" s="9">
        <v>1</v>
      </c>
      <c r="J65" s="9">
        <v>1</v>
      </c>
      <c r="K65" s="9">
        <v>1</v>
      </c>
      <c r="L65" s="9">
        <v>1</v>
      </c>
      <c r="M65" s="9">
        <v>0</v>
      </c>
      <c r="N65" s="9">
        <v>1</v>
      </c>
      <c r="O65" s="9">
        <v>0</v>
      </c>
      <c r="P65" s="9">
        <v>0</v>
      </c>
      <c r="Q65" s="9">
        <v>1</v>
      </c>
      <c r="R65" s="9">
        <v>0</v>
      </c>
      <c r="S65" s="9">
        <v>1</v>
      </c>
      <c r="T65" s="9">
        <v>0</v>
      </c>
      <c r="U65" s="9">
        <v>1</v>
      </c>
      <c r="V65" s="10">
        <f t="shared" si="0"/>
        <v>0.66666666666666663</v>
      </c>
      <c r="X65" s="109"/>
      <c r="Y65" s="9">
        <v>2019</v>
      </c>
    </row>
    <row r="66" spans="2:25" ht="13.2" x14ac:dyDescent="0.25">
      <c r="B66" s="109"/>
      <c r="C66" s="9">
        <v>2020</v>
      </c>
      <c r="D66" s="9">
        <v>1</v>
      </c>
      <c r="E66" s="9">
        <v>1</v>
      </c>
      <c r="F66" s="9">
        <v>0</v>
      </c>
      <c r="G66" s="9">
        <v>1</v>
      </c>
      <c r="H66" s="9">
        <v>0</v>
      </c>
      <c r="I66" s="9">
        <v>1</v>
      </c>
      <c r="J66" s="9">
        <v>1</v>
      </c>
      <c r="K66" s="9">
        <v>1</v>
      </c>
      <c r="L66" s="9">
        <v>1</v>
      </c>
      <c r="M66" s="9">
        <v>0</v>
      </c>
      <c r="N66" s="9">
        <v>1</v>
      </c>
      <c r="O66" s="9">
        <v>0</v>
      </c>
      <c r="P66" s="9">
        <v>0</v>
      </c>
      <c r="Q66" s="9">
        <v>1</v>
      </c>
      <c r="R66" s="9">
        <v>1</v>
      </c>
      <c r="S66" s="9">
        <v>0</v>
      </c>
      <c r="T66" s="9">
        <v>0</v>
      </c>
      <c r="U66" s="9">
        <v>0</v>
      </c>
      <c r="V66" s="10">
        <f t="shared" si="0"/>
        <v>0.55555555555555558</v>
      </c>
      <c r="X66" s="109"/>
      <c r="Y66" s="9">
        <v>2020</v>
      </c>
    </row>
    <row r="67" spans="2:25" ht="13.2" x14ac:dyDescent="0.25">
      <c r="B67" s="109"/>
      <c r="C67" s="9">
        <v>2021</v>
      </c>
      <c r="D67" s="9">
        <v>1</v>
      </c>
      <c r="E67" s="9">
        <v>1</v>
      </c>
      <c r="F67" s="9">
        <v>1</v>
      </c>
      <c r="G67" s="9">
        <v>1</v>
      </c>
      <c r="H67" s="9">
        <v>1</v>
      </c>
      <c r="I67" s="9">
        <v>1</v>
      </c>
      <c r="J67" s="9">
        <v>0</v>
      </c>
      <c r="K67" s="9">
        <v>1</v>
      </c>
      <c r="L67" s="9">
        <v>1</v>
      </c>
      <c r="M67" s="9">
        <v>1</v>
      </c>
      <c r="N67" s="9">
        <v>1</v>
      </c>
      <c r="O67" s="9">
        <v>1</v>
      </c>
      <c r="P67" s="9">
        <v>1</v>
      </c>
      <c r="Q67" s="9">
        <v>1</v>
      </c>
      <c r="R67" s="9">
        <v>1</v>
      </c>
      <c r="S67" s="9">
        <v>0</v>
      </c>
      <c r="T67" s="9">
        <v>0</v>
      </c>
      <c r="U67" s="9">
        <v>1</v>
      </c>
      <c r="V67" s="10">
        <f t="shared" si="0"/>
        <v>0.83333333333333337</v>
      </c>
      <c r="X67" s="109"/>
      <c r="Y67" s="9">
        <v>2021</v>
      </c>
    </row>
    <row r="68" spans="2:25" ht="13.8" thickBot="1" x14ac:dyDescent="0.3">
      <c r="B68" s="110"/>
      <c r="C68" s="9">
        <v>2022</v>
      </c>
      <c r="D68" s="9">
        <v>1</v>
      </c>
      <c r="E68" s="9">
        <v>1</v>
      </c>
      <c r="F68" s="9">
        <v>1</v>
      </c>
      <c r="G68" s="9">
        <v>0</v>
      </c>
      <c r="H68" s="9">
        <v>1</v>
      </c>
      <c r="I68" s="9">
        <v>1</v>
      </c>
      <c r="J68" s="9">
        <v>0</v>
      </c>
      <c r="K68" s="9">
        <v>1</v>
      </c>
      <c r="L68" s="9">
        <v>1</v>
      </c>
      <c r="M68" s="9">
        <v>1</v>
      </c>
      <c r="N68" s="9">
        <v>0</v>
      </c>
      <c r="O68" s="9">
        <v>1</v>
      </c>
      <c r="P68" s="9">
        <v>0</v>
      </c>
      <c r="Q68" s="9">
        <v>0</v>
      </c>
      <c r="R68" s="9">
        <v>0</v>
      </c>
      <c r="S68" s="9">
        <v>1</v>
      </c>
      <c r="T68" s="9">
        <v>0</v>
      </c>
      <c r="U68" s="9">
        <v>1</v>
      </c>
      <c r="V68" s="10">
        <f t="shared" si="0"/>
        <v>0.61111111111111116</v>
      </c>
      <c r="X68" s="110"/>
      <c r="Y68" s="9">
        <v>2022</v>
      </c>
    </row>
    <row r="69" spans="2:25" ht="13.2" x14ac:dyDescent="0.25">
      <c r="B69" s="108" t="s">
        <v>174</v>
      </c>
      <c r="C69" s="9">
        <v>2018</v>
      </c>
      <c r="D69" s="9">
        <v>1</v>
      </c>
      <c r="E69" s="9">
        <v>1</v>
      </c>
      <c r="F69" s="9">
        <v>1</v>
      </c>
      <c r="G69" s="9">
        <v>0</v>
      </c>
      <c r="H69" s="9">
        <v>1</v>
      </c>
      <c r="I69" s="9">
        <v>1</v>
      </c>
      <c r="J69" s="9">
        <v>1</v>
      </c>
      <c r="K69" s="9">
        <v>1</v>
      </c>
      <c r="L69" s="9">
        <v>1</v>
      </c>
      <c r="M69" s="9">
        <v>0</v>
      </c>
      <c r="N69" s="9">
        <v>0</v>
      </c>
      <c r="O69" s="9">
        <v>0</v>
      </c>
      <c r="P69" s="9">
        <v>0</v>
      </c>
      <c r="Q69" s="9">
        <v>1</v>
      </c>
      <c r="R69" s="9">
        <v>0</v>
      </c>
      <c r="S69" s="9">
        <v>0</v>
      </c>
      <c r="T69" s="9">
        <v>1</v>
      </c>
      <c r="U69" s="9">
        <v>0</v>
      </c>
      <c r="V69" s="10">
        <f t="shared" si="0"/>
        <v>0.55555555555555558</v>
      </c>
      <c r="X69" s="108" t="s">
        <v>174</v>
      </c>
      <c r="Y69" s="9">
        <v>2018</v>
      </c>
    </row>
    <row r="70" spans="2:25" ht="13.2" x14ac:dyDescent="0.25">
      <c r="B70" s="109"/>
      <c r="C70" s="9">
        <v>2019</v>
      </c>
      <c r="D70" s="9">
        <v>1</v>
      </c>
      <c r="E70" s="9">
        <v>1</v>
      </c>
      <c r="F70" s="9">
        <v>0</v>
      </c>
      <c r="G70" s="9">
        <v>0</v>
      </c>
      <c r="H70" s="9">
        <v>0</v>
      </c>
      <c r="I70" s="9">
        <v>1</v>
      </c>
      <c r="J70" s="9">
        <v>0</v>
      </c>
      <c r="K70" s="9">
        <v>1</v>
      </c>
      <c r="L70" s="9">
        <v>1</v>
      </c>
      <c r="M70" s="9">
        <v>1</v>
      </c>
      <c r="N70" s="9">
        <v>1</v>
      </c>
      <c r="O70" s="9">
        <v>1</v>
      </c>
      <c r="P70" s="9">
        <v>1</v>
      </c>
      <c r="Q70" s="9">
        <v>1</v>
      </c>
      <c r="R70" s="9">
        <v>1</v>
      </c>
      <c r="S70" s="9">
        <v>0</v>
      </c>
      <c r="T70" s="9">
        <v>1</v>
      </c>
      <c r="U70" s="9">
        <v>0</v>
      </c>
      <c r="V70" s="10">
        <f t="shared" si="0"/>
        <v>0.66666666666666663</v>
      </c>
      <c r="X70" s="109"/>
      <c r="Y70" s="9">
        <v>2019</v>
      </c>
    </row>
    <row r="71" spans="2:25" ht="13.2" x14ac:dyDescent="0.25">
      <c r="B71" s="109"/>
      <c r="C71" s="9">
        <v>2020</v>
      </c>
      <c r="D71" s="9">
        <v>1</v>
      </c>
      <c r="E71" s="9">
        <v>1</v>
      </c>
      <c r="F71" s="9">
        <v>1</v>
      </c>
      <c r="G71" s="9">
        <v>1</v>
      </c>
      <c r="H71" s="9">
        <v>1</v>
      </c>
      <c r="I71" s="9">
        <v>0</v>
      </c>
      <c r="J71" s="9">
        <v>1</v>
      </c>
      <c r="K71" s="9">
        <v>1</v>
      </c>
      <c r="L71" s="9">
        <v>1</v>
      </c>
      <c r="M71" s="9">
        <v>0</v>
      </c>
      <c r="N71" s="9">
        <v>0</v>
      </c>
      <c r="O71" s="9">
        <v>1</v>
      </c>
      <c r="P71" s="9">
        <v>1</v>
      </c>
      <c r="Q71" s="9">
        <v>0</v>
      </c>
      <c r="R71" s="9">
        <v>0</v>
      </c>
      <c r="S71" s="9">
        <v>0</v>
      </c>
      <c r="T71" s="9">
        <v>0</v>
      </c>
      <c r="U71" s="9">
        <v>1</v>
      </c>
      <c r="V71" s="10">
        <f t="shared" si="0"/>
        <v>0.61111111111111116</v>
      </c>
      <c r="X71" s="109"/>
      <c r="Y71" s="9">
        <v>2020</v>
      </c>
    </row>
    <row r="72" spans="2:25" ht="13.2" x14ac:dyDescent="0.25">
      <c r="B72" s="109"/>
      <c r="C72" s="9">
        <v>2021</v>
      </c>
      <c r="D72" s="9">
        <v>1</v>
      </c>
      <c r="E72" s="9">
        <v>1</v>
      </c>
      <c r="F72" s="9">
        <v>0</v>
      </c>
      <c r="G72" s="9">
        <v>0</v>
      </c>
      <c r="H72" s="9">
        <v>1</v>
      </c>
      <c r="I72" s="9">
        <v>0</v>
      </c>
      <c r="J72" s="9">
        <v>1</v>
      </c>
      <c r="K72" s="9">
        <v>1</v>
      </c>
      <c r="L72" s="9">
        <v>1</v>
      </c>
      <c r="M72" s="9">
        <v>0</v>
      </c>
      <c r="N72" s="9">
        <v>0</v>
      </c>
      <c r="O72" s="9">
        <v>1</v>
      </c>
      <c r="P72" s="9">
        <v>1</v>
      </c>
      <c r="Q72" s="9">
        <v>0</v>
      </c>
      <c r="R72" s="9">
        <v>1</v>
      </c>
      <c r="S72" s="9">
        <v>0</v>
      </c>
      <c r="T72" s="9">
        <v>1</v>
      </c>
      <c r="U72" s="9">
        <v>0</v>
      </c>
      <c r="V72" s="10">
        <f t="shared" si="0"/>
        <v>0.55555555555555558</v>
      </c>
      <c r="X72" s="109"/>
      <c r="Y72" s="9">
        <v>2021</v>
      </c>
    </row>
    <row r="73" spans="2:25" ht="13.8" thickBot="1" x14ac:dyDescent="0.3">
      <c r="B73" s="110"/>
      <c r="C73" s="9">
        <v>2022</v>
      </c>
      <c r="D73" s="9">
        <v>1</v>
      </c>
      <c r="E73" s="9">
        <v>1</v>
      </c>
      <c r="F73" s="9">
        <v>1</v>
      </c>
      <c r="G73" s="9">
        <v>1</v>
      </c>
      <c r="H73" s="9">
        <v>0</v>
      </c>
      <c r="I73" s="9">
        <v>1</v>
      </c>
      <c r="J73" s="9">
        <v>1</v>
      </c>
      <c r="K73" s="9">
        <v>1</v>
      </c>
      <c r="L73" s="9">
        <v>1</v>
      </c>
      <c r="M73" s="9">
        <v>0</v>
      </c>
      <c r="N73" s="9">
        <v>1</v>
      </c>
      <c r="O73" s="9">
        <v>1</v>
      </c>
      <c r="P73" s="9">
        <v>1</v>
      </c>
      <c r="Q73" s="9">
        <v>1</v>
      </c>
      <c r="R73" s="9">
        <v>1</v>
      </c>
      <c r="S73" s="9">
        <v>0</v>
      </c>
      <c r="T73" s="9">
        <v>1</v>
      </c>
      <c r="U73" s="9">
        <v>0</v>
      </c>
      <c r="V73" s="10">
        <f t="shared" si="0"/>
        <v>0.77777777777777779</v>
      </c>
      <c r="X73" s="110"/>
      <c r="Y73" s="9">
        <v>2022</v>
      </c>
    </row>
    <row r="74" spans="2:25" ht="13.2" x14ac:dyDescent="0.25">
      <c r="B74" s="108" t="s">
        <v>175</v>
      </c>
      <c r="C74" s="9">
        <v>2018</v>
      </c>
      <c r="D74" s="9">
        <v>1</v>
      </c>
      <c r="E74" s="9">
        <v>1</v>
      </c>
      <c r="F74" s="9">
        <v>0</v>
      </c>
      <c r="G74" s="9">
        <v>0</v>
      </c>
      <c r="H74" s="9">
        <v>1</v>
      </c>
      <c r="I74" s="9">
        <v>1</v>
      </c>
      <c r="J74" s="9">
        <v>1</v>
      </c>
      <c r="K74" s="9">
        <v>1</v>
      </c>
      <c r="L74" s="9">
        <v>1</v>
      </c>
      <c r="M74" s="9">
        <v>0</v>
      </c>
      <c r="N74" s="9">
        <v>1</v>
      </c>
      <c r="O74" s="9">
        <v>0</v>
      </c>
      <c r="P74" s="9">
        <v>0</v>
      </c>
      <c r="Q74" s="9">
        <v>1</v>
      </c>
      <c r="R74" s="9">
        <v>0</v>
      </c>
      <c r="S74" s="9">
        <v>1</v>
      </c>
      <c r="T74" s="9">
        <v>0</v>
      </c>
      <c r="U74" s="9">
        <v>1</v>
      </c>
      <c r="V74" s="10">
        <f t="shared" si="0"/>
        <v>0.61111111111111116</v>
      </c>
      <c r="X74" s="108" t="s">
        <v>175</v>
      </c>
      <c r="Y74" s="9">
        <v>2018</v>
      </c>
    </row>
    <row r="75" spans="2:25" ht="13.2" x14ac:dyDescent="0.25">
      <c r="B75" s="109"/>
      <c r="C75" s="9">
        <v>2019</v>
      </c>
      <c r="D75" s="9">
        <v>1</v>
      </c>
      <c r="E75" s="9">
        <v>1</v>
      </c>
      <c r="F75" s="9">
        <v>1</v>
      </c>
      <c r="G75" s="9">
        <v>1</v>
      </c>
      <c r="H75" s="9">
        <v>0</v>
      </c>
      <c r="I75" s="9">
        <v>0</v>
      </c>
      <c r="J75" s="9">
        <v>0</v>
      </c>
      <c r="K75" s="9">
        <v>1</v>
      </c>
      <c r="L75" s="9">
        <v>1</v>
      </c>
      <c r="M75" s="9">
        <v>0</v>
      </c>
      <c r="N75" s="9">
        <v>0</v>
      </c>
      <c r="O75" s="9">
        <v>1</v>
      </c>
      <c r="P75" s="9">
        <v>1</v>
      </c>
      <c r="Q75" s="9">
        <v>0</v>
      </c>
      <c r="R75" s="9">
        <v>0</v>
      </c>
      <c r="S75" s="9">
        <v>0</v>
      </c>
      <c r="T75" s="9">
        <v>1</v>
      </c>
      <c r="U75" s="9">
        <v>0</v>
      </c>
      <c r="V75" s="10">
        <f t="shared" si="0"/>
        <v>0.5</v>
      </c>
      <c r="X75" s="109"/>
      <c r="Y75" s="9">
        <v>2019</v>
      </c>
    </row>
    <row r="76" spans="2:25" ht="13.2" x14ac:dyDescent="0.25">
      <c r="B76" s="109"/>
      <c r="C76" s="9">
        <v>2020</v>
      </c>
      <c r="D76" s="9">
        <v>1</v>
      </c>
      <c r="E76" s="9">
        <v>1</v>
      </c>
      <c r="F76" s="9">
        <v>0</v>
      </c>
      <c r="G76" s="9">
        <v>1</v>
      </c>
      <c r="H76" s="9">
        <v>0</v>
      </c>
      <c r="I76" s="9">
        <v>1</v>
      </c>
      <c r="J76" s="9">
        <v>0</v>
      </c>
      <c r="K76" s="9">
        <v>1</v>
      </c>
      <c r="L76" s="9">
        <v>1</v>
      </c>
      <c r="M76" s="9">
        <v>1</v>
      </c>
      <c r="N76" s="9">
        <v>0</v>
      </c>
      <c r="O76" s="9">
        <v>1</v>
      </c>
      <c r="P76" s="9">
        <v>0</v>
      </c>
      <c r="Q76" s="9">
        <v>1</v>
      </c>
      <c r="R76" s="9">
        <v>0</v>
      </c>
      <c r="S76" s="9">
        <v>1</v>
      </c>
      <c r="T76" s="9">
        <v>1</v>
      </c>
      <c r="U76" s="9">
        <v>0</v>
      </c>
      <c r="V76" s="10">
        <f t="shared" si="0"/>
        <v>0.61111111111111116</v>
      </c>
      <c r="X76" s="109"/>
      <c r="Y76" s="9">
        <v>2020</v>
      </c>
    </row>
    <row r="77" spans="2:25" ht="13.2" x14ac:dyDescent="0.25">
      <c r="B77" s="109"/>
      <c r="C77" s="9">
        <v>2021</v>
      </c>
      <c r="D77" s="9">
        <v>1</v>
      </c>
      <c r="E77" s="9">
        <v>1</v>
      </c>
      <c r="F77" s="9">
        <v>1</v>
      </c>
      <c r="G77" s="9">
        <v>1</v>
      </c>
      <c r="H77" s="9">
        <v>1</v>
      </c>
      <c r="I77" s="9">
        <v>0</v>
      </c>
      <c r="J77" s="9">
        <v>1</v>
      </c>
      <c r="K77" s="9">
        <v>1</v>
      </c>
      <c r="L77" s="9">
        <v>1</v>
      </c>
      <c r="M77" s="9">
        <v>0</v>
      </c>
      <c r="N77" s="9">
        <v>0</v>
      </c>
      <c r="O77" s="9">
        <v>0</v>
      </c>
      <c r="P77" s="9">
        <v>0</v>
      </c>
      <c r="Q77" s="9">
        <v>0</v>
      </c>
      <c r="R77" s="9">
        <v>1</v>
      </c>
      <c r="S77" s="9">
        <v>0</v>
      </c>
      <c r="T77" s="9">
        <v>0</v>
      </c>
      <c r="U77" s="9">
        <v>0</v>
      </c>
      <c r="V77" s="10">
        <f t="shared" si="0"/>
        <v>0.5</v>
      </c>
      <c r="X77" s="109"/>
      <c r="Y77" s="9">
        <v>2021</v>
      </c>
    </row>
    <row r="78" spans="2:25" ht="13.8" thickBot="1" x14ac:dyDescent="0.3">
      <c r="B78" s="110"/>
      <c r="C78" s="9">
        <v>2022</v>
      </c>
      <c r="D78" s="9">
        <v>1</v>
      </c>
      <c r="E78" s="9">
        <v>1</v>
      </c>
      <c r="F78" s="9">
        <v>0</v>
      </c>
      <c r="G78" s="9">
        <v>1</v>
      </c>
      <c r="H78" s="9">
        <v>1</v>
      </c>
      <c r="I78" s="9">
        <v>0</v>
      </c>
      <c r="J78" s="9">
        <v>0</v>
      </c>
      <c r="K78" s="9">
        <v>1</v>
      </c>
      <c r="L78" s="9">
        <v>1</v>
      </c>
      <c r="M78" s="9">
        <v>0</v>
      </c>
      <c r="N78" s="9">
        <v>0</v>
      </c>
      <c r="O78" s="9">
        <v>0</v>
      </c>
      <c r="P78" s="9">
        <v>0</v>
      </c>
      <c r="Q78" s="9">
        <v>0</v>
      </c>
      <c r="R78" s="9">
        <v>0</v>
      </c>
      <c r="S78" s="9">
        <v>1</v>
      </c>
      <c r="T78" s="9">
        <v>1</v>
      </c>
      <c r="U78" s="9">
        <v>0</v>
      </c>
      <c r="V78" s="10">
        <f t="shared" si="0"/>
        <v>0.44444444444444442</v>
      </c>
      <c r="X78" s="110"/>
      <c r="Y78" s="9">
        <v>2022</v>
      </c>
    </row>
    <row r="79" spans="2:25" ht="13.2" x14ac:dyDescent="0.25">
      <c r="B79" s="108" t="s">
        <v>176</v>
      </c>
      <c r="C79" s="9">
        <v>2018</v>
      </c>
      <c r="D79" s="9">
        <v>1</v>
      </c>
      <c r="E79" s="9">
        <v>1</v>
      </c>
      <c r="F79" s="9">
        <v>1</v>
      </c>
      <c r="G79" s="9">
        <v>0</v>
      </c>
      <c r="H79" s="9">
        <v>1</v>
      </c>
      <c r="I79" s="9">
        <v>1</v>
      </c>
      <c r="J79" s="9">
        <v>1</v>
      </c>
      <c r="K79" s="9">
        <v>1</v>
      </c>
      <c r="L79" s="9">
        <v>1</v>
      </c>
      <c r="M79" s="9">
        <v>1</v>
      </c>
      <c r="N79" s="9">
        <v>1</v>
      </c>
      <c r="O79" s="9">
        <v>1</v>
      </c>
      <c r="P79" s="9">
        <v>1</v>
      </c>
      <c r="Q79" s="9">
        <v>1</v>
      </c>
      <c r="R79" s="9">
        <v>1</v>
      </c>
      <c r="S79" s="9">
        <v>0</v>
      </c>
      <c r="T79" s="9">
        <v>1</v>
      </c>
      <c r="U79" s="9">
        <v>0</v>
      </c>
      <c r="V79" s="10">
        <f t="shared" si="0"/>
        <v>0.83333333333333337</v>
      </c>
      <c r="X79" s="108" t="s">
        <v>176</v>
      </c>
      <c r="Y79" s="9">
        <v>2018</v>
      </c>
    </row>
    <row r="80" spans="2:25" ht="13.2" x14ac:dyDescent="0.25">
      <c r="B80" s="109"/>
      <c r="C80" s="9">
        <v>2019</v>
      </c>
      <c r="D80" s="9">
        <v>1</v>
      </c>
      <c r="E80" s="9">
        <v>1</v>
      </c>
      <c r="F80" s="9">
        <v>1</v>
      </c>
      <c r="G80" s="9">
        <v>0</v>
      </c>
      <c r="H80" s="9">
        <v>1</v>
      </c>
      <c r="I80" s="9">
        <v>0</v>
      </c>
      <c r="J80" s="9">
        <v>1</v>
      </c>
      <c r="K80" s="9">
        <v>1</v>
      </c>
      <c r="L80" s="9">
        <v>1</v>
      </c>
      <c r="M80" s="9">
        <v>1</v>
      </c>
      <c r="N80" s="9">
        <v>0</v>
      </c>
      <c r="O80" s="9">
        <v>0</v>
      </c>
      <c r="P80" s="9">
        <v>0</v>
      </c>
      <c r="Q80" s="9">
        <v>1</v>
      </c>
      <c r="R80" s="9">
        <v>0</v>
      </c>
      <c r="S80" s="9">
        <v>1</v>
      </c>
      <c r="T80" s="9">
        <v>0</v>
      </c>
      <c r="U80" s="9">
        <v>0</v>
      </c>
      <c r="V80" s="10">
        <f t="shared" si="0"/>
        <v>0.55555555555555558</v>
      </c>
      <c r="X80" s="109"/>
      <c r="Y80" s="9">
        <v>2019</v>
      </c>
    </row>
    <row r="81" spans="2:25" ht="13.2" x14ac:dyDescent="0.25">
      <c r="B81" s="109"/>
      <c r="C81" s="9">
        <v>2020</v>
      </c>
      <c r="D81" s="9">
        <v>1</v>
      </c>
      <c r="E81" s="9">
        <v>1</v>
      </c>
      <c r="F81" s="9">
        <v>0</v>
      </c>
      <c r="G81" s="9">
        <v>0</v>
      </c>
      <c r="H81" s="9">
        <v>1</v>
      </c>
      <c r="I81" s="9">
        <v>0</v>
      </c>
      <c r="J81" s="9">
        <v>0</v>
      </c>
      <c r="K81" s="9">
        <v>1</v>
      </c>
      <c r="L81" s="9">
        <v>1</v>
      </c>
      <c r="M81" s="9">
        <v>0</v>
      </c>
      <c r="N81" s="9">
        <v>1</v>
      </c>
      <c r="O81" s="9">
        <v>1</v>
      </c>
      <c r="P81" s="9">
        <v>0</v>
      </c>
      <c r="Q81" s="9">
        <v>1</v>
      </c>
      <c r="R81" s="9">
        <v>0</v>
      </c>
      <c r="S81" s="9">
        <v>1</v>
      </c>
      <c r="T81" s="9">
        <v>1</v>
      </c>
      <c r="U81" s="9">
        <v>0</v>
      </c>
      <c r="V81" s="10">
        <f t="shared" si="0"/>
        <v>0.55555555555555558</v>
      </c>
      <c r="X81" s="109"/>
      <c r="Y81" s="9">
        <v>2020</v>
      </c>
    </row>
    <row r="82" spans="2:25" ht="13.2" x14ac:dyDescent="0.25">
      <c r="B82" s="109"/>
      <c r="C82" s="9">
        <v>2021</v>
      </c>
      <c r="D82" s="9">
        <v>1</v>
      </c>
      <c r="E82" s="9">
        <v>1</v>
      </c>
      <c r="F82" s="9">
        <v>1</v>
      </c>
      <c r="G82" s="9">
        <v>0</v>
      </c>
      <c r="H82" s="9">
        <v>0</v>
      </c>
      <c r="I82" s="9">
        <v>0</v>
      </c>
      <c r="J82" s="9">
        <v>1</v>
      </c>
      <c r="K82" s="9">
        <v>1</v>
      </c>
      <c r="L82" s="9">
        <v>1</v>
      </c>
      <c r="M82" s="9">
        <v>1</v>
      </c>
      <c r="N82" s="9">
        <v>1</v>
      </c>
      <c r="O82" s="9">
        <v>1</v>
      </c>
      <c r="P82" s="9">
        <v>1</v>
      </c>
      <c r="Q82" s="9">
        <v>0</v>
      </c>
      <c r="R82" s="9">
        <v>0</v>
      </c>
      <c r="S82" s="9">
        <v>0</v>
      </c>
      <c r="T82" s="9">
        <v>1</v>
      </c>
      <c r="U82" s="9">
        <v>1</v>
      </c>
      <c r="V82" s="10">
        <f t="shared" si="0"/>
        <v>0.66666666666666663</v>
      </c>
      <c r="X82" s="109"/>
      <c r="Y82" s="9">
        <v>2021</v>
      </c>
    </row>
    <row r="83" spans="2:25" ht="13.8" thickBot="1" x14ac:dyDescent="0.3">
      <c r="B83" s="110"/>
      <c r="C83" s="9">
        <v>2022</v>
      </c>
      <c r="D83" s="9">
        <v>1</v>
      </c>
      <c r="E83" s="9">
        <v>1</v>
      </c>
      <c r="F83" s="9">
        <v>1</v>
      </c>
      <c r="G83" s="9">
        <v>0</v>
      </c>
      <c r="H83" s="9">
        <v>0</v>
      </c>
      <c r="I83" s="9">
        <v>0</v>
      </c>
      <c r="J83" s="9">
        <v>1</v>
      </c>
      <c r="K83" s="9">
        <v>1</v>
      </c>
      <c r="L83" s="9">
        <v>1</v>
      </c>
      <c r="M83" s="9">
        <v>1</v>
      </c>
      <c r="N83" s="9">
        <v>0</v>
      </c>
      <c r="O83" s="9">
        <v>0</v>
      </c>
      <c r="P83" s="9">
        <v>1</v>
      </c>
      <c r="Q83" s="9">
        <v>0</v>
      </c>
      <c r="R83" s="9">
        <v>0</v>
      </c>
      <c r="S83" s="9">
        <v>1</v>
      </c>
      <c r="T83" s="9">
        <v>1</v>
      </c>
      <c r="U83" s="9">
        <v>1</v>
      </c>
      <c r="V83" s="10">
        <f t="shared" si="0"/>
        <v>0.61111111111111116</v>
      </c>
      <c r="X83" s="110"/>
      <c r="Y83" s="9">
        <v>2022</v>
      </c>
    </row>
    <row r="84" spans="2:25" ht="13.2" x14ac:dyDescent="0.25">
      <c r="B84" s="108" t="s">
        <v>177</v>
      </c>
      <c r="C84" s="9">
        <v>2018</v>
      </c>
      <c r="D84" s="9">
        <v>1</v>
      </c>
      <c r="E84" s="9">
        <v>1</v>
      </c>
      <c r="F84" s="9">
        <v>1</v>
      </c>
      <c r="G84" s="9">
        <v>0</v>
      </c>
      <c r="H84" s="9">
        <v>0</v>
      </c>
      <c r="I84" s="9">
        <v>0</v>
      </c>
      <c r="J84" s="9">
        <v>0</v>
      </c>
      <c r="K84" s="9">
        <v>1</v>
      </c>
      <c r="L84" s="9">
        <v>1</v>
      </c>
      <c r="M84" s="9">
        <v>1</v>
      </c>
      <c r="N84" s="9">
        <v>1</v>
      </c>
      <c r="O84" s="9">
        <v>1</v>
      </c>
      <c r="P84" s="9">
        <v>0</v>
      </c>
      <c r="Q84" s="9">
        <v>1</v>
      </c>
      <c r="R84" s="9">
        <v>1</v>
      </c>
      <c r="S84" s="9">
        <v>0</v>
      </c>
      <c r="T84" s="9">
        <v>0</v>
      </c>
      <c r="U84" s="9">
        <v>0</v>
      </c>
      <c r="V84" s="10">
        <f t="shared" si="0"/>
        <v>0.55555555555555558</v>
      </c>
      <c r="X84" s="108" t="s">
        <v>177</v>
      </c>
      <c r="Y84" s="9">
        <v>2018</v>
      </c>
    </row>
    <row r="85" spans="2:25" ht="13.2" x14ac:dyDescent="0.25">
      <c r="B85" s="109"/>
      <c r="C85" s="9">
        <v>2019</v>
      </c>
      <c r="D85" s="9">
        <v>1</v>
      </c>
      <c r="E85" s="9">
        <v>1</v>
      </c>
      <c r="F85" s="9">
        <v>1</v>
      </c>
      <c r="G85" s="9">
        <v>0</v>
      </c>
      <c r="H85" s="9">
        <v>0</v>
      </c>
      <c r="I85" s="9">
        <v>1</v>
      </c>
      <c r="J85" s="9">
        <v>0</v>
      </c>
      <c r="K85" s="9">
        <v>1</v>
      </c>
      <c r="L85" s="9">
        <v>1</v>
      </c>
      <c r="M85" s="9">
        <v>0</v>
      </c>
      <c r="N85" s="9">
        <v>1</v>
      </c>
      <c r="O85" s="9">
        <v>1</v>
      </c>
      <c r="P85" s="9">
        <v>1</v>
      </c>
      <c r="Q85" s="9">
        <v>0</v>
      </c>
      <c r="R85" s="9">
        <v>0</v>
      </c>
      <c r="S85" s="9">
        <v>1</v>
      </c>
      <c r="T85" s="9">
        <v>1</v>
      </c>
      <c r="U85" s="9">
        <v>1</v>
      </c>
      <c r="V85" s="10">
        <f t="shared" si="0"/>
        <v>0.66666666666666663</v>
      </c>
      <c r="X85" s="109"/>
      <c r="Y85" s="9">
        <v>2019</v>
      </c>
    </row>
    <row r="86" spans="2:25" ht="13.2" x14ac:dyDescent="0.25">
      <c r="B86" s="109"/>
      <c r="C86" s="9">
        <v>2020</v>
      </c>
      <c r="D86" s="9">
        <v>1</v>
      </c>
      <c r="E86" s="9">
        <v>1</v>
      </c>
      <c r="F86" s="9">
        <v>1</v>
      </c>
      <c r="G86" s="9">
        <v>0</v>
      </c>
      <c r="H86" s="9">
        <v>0</v>
      </c>
      <c r="I86" s="9">
        <v>1</v>
      </c>
      <c r="J86" s="9">
        <v>0</v>
      </c>
      <c r="K86" s="9">
        <v>1</v>
      </c>
      <c r="L86" s="9">
        <v>1</v>
      </c>
      <c r="M86" s="9">
        <v>0</v>
      </c>
      <c r="N86" s="9">
        <v>0</v>
      </c>
      <c r="O86" s="9">
        <v>0</v>
      </c>
      <c r="P86" s="9">
        <v>1</v>
      </c>
      <c r="Q86" s="9">
        <v>1</v>
      </c>
      <c r="R86" s="9">
        <v>1</v>
      </c>
      <c r="S86" s="9">
        <v>0</v>
      </c>
      <c r="T86" s="9">
        <v>0</v>
      </c>
      <c r="U86" s="9">
        <v>0</v>
      </c>
      <c r="V86" s="10">
        <f t="shared" si="0"/>
        <v>0.5</v>
      </c>
      <c r="X86" s="109"/>
      <c r="Y86" s="9">
        <v>2020</v>
      </c>
    </row>
    <row r="87" spans="2:25" ht="13.2" x14ac:dyDescent="0.25">
      <c r="B87" s="109"/>
      <c r="C87" s="9">
        <v>2021</v>
      </c>
      <c r="D87" s="9">
        <v>1</v>
      </c>
      <c r="E87" s="9">
        <v>1</v>
      </c>
      <c r="F87" s="9">
        <v>1</v>
      </c>
      <c r="G87" s="9">
        <v>0</v>
      </c>
      <c r="H87" s="9">
        <v>0</v>
      </c>
      <c r="I87" s="9">
        <v>1</v>
      </c>
      <c r="J87" s="9">
        <v>0</v>
      </c>
      <c r="K87" s="9">
        <v>1</v>
      </c>
      <c r="L87" s="9">
        <v>1</v>
      </c>
      <c r="M87" s="9">
        <v>1</v>
      </c>
      <c r="N87" s="9">
        <v>0</v>
      </c>
      <c r="O87" s="9">
        <v>1</v>
      </c>
      <c r="P87" s="9">
        <v>1</v>
      </c>
      <c r="Q87" s="9">
        <v>0</v>
      </c>
      <c r="R87" s="9">
        <v>0</v>
      </c>
      <c r="S87" s="9">
        <v>1</v>
      </c>
      <c r="T87" s="9">
        <v>1</v>
      </c>
      <c r="U87" s="9">
        <v>1</v>
      </c>
      <c r="V87" s="10">
        <f t="shared" si="0"/>
        <v>0.66666666666666663</v>
      </c>
      <c r="X87" s="109"/>
      <c r="Y87" s="9">
        <v>2021</v>
      </c>
    </row>
    <row r="88" spans="2:25" ht="13.8" thickBot="1" x14ac:dyDescent="0.3">
      <c r="B88" s="110"/>
      <c r="C88" s="9">
        <v>2022</v>
      </c>
      <c r="D88" s="9">
        <v>1</v>
      </c>
      <c r="E88" s="9">
        <v>1</v>
      </c>
      <c r="F88" s="9">
        <v>0</v>
      </c>
      <c r="G88" s="9">
        <v>1</v>
      </c>
      <c r="H88" s="9">
        <v>1</v>
      </c>
      <c r="I88" s="9">
        <v>1</v>
      </c>
      <c r="J88" s="9">
        <v>0</v>
      </c>
      <c r="K88" s="9">
        <v>1</v>
      </c>
      <c r="L88" s="9">
        <v>1</v>
      </c>
      <c r="M88" s="9">
        <v>1</v>
      </c>
      <c r="N88" s="9">
        <v>0</v>
      </c>
      <c r="O88" s="9">
        <v>1</v>
      </c>
      <c r="P88" s="9">
        <v>0</v>
      </c>
      <c r="Q88" s="9">
        <v>0</v>
      </c>
      <c r="R88" s="9">
        <v>1</v>
      </c>
      <c r="S88" s="9">
        <v>0</v>
      </c>
      <c r="T88" s="9">
        <v>0</v>
      </c>
      <c r="U88" s="9">
        <v>1</v>
      </c>
      <c r="V88" s="10">
        <f t="shared" si="0"/>
        <v>0.61111111111111116</v>
      </c>
      <c r="X88" s="110"/>
      <c r="Y88" s="9">
        <v>2022</v>
      </c>
    </row>
    <row r="89" spans="2:25" ht="13.2" x14ac:dyDescent="0.25">
      <c r="B89" s="108" t="s">
        <v>178</v>
      </c>
      <c r="C89" s="9">
        <v>2018</v>
      </c>
      <c r="D89" s="9">
        <v>1</v>
      </c>
      <c r="E89" s="9">
        <v>1</v>
      </c>
      <c r="F89" s="9">
        <v>1</v>
      </c>
      <c r="G89" s="9">
        <v>0</v>
      </c>
      <c r="H89" s="9">
        <v>0</v>
      </c>
      <c r="I89" s="9">
        <v>1</v>
      </c>
      <c r="J89" s="9">
        <v>0</v>
      </c>
      <c r="K89" s="9">
        <v>1</v>
      </c>
      <c r="L89" s="9">
        <v>1</v>
      </c>
      <c r="M89" s="9">
        <v>0</v>
      </c>
      <c r="N89" s="9">
        <v>0</v>
      </c>
      <c r="O89" s="9">
        <v>1</v>
      </c>
      <c r="P89" s="9">
        <v>1</v>
      </c>
      <c r="Q89" s="9">
        <v>0</v>
      </c>
      <c r="R89" s="9">
        <v>1</v>
      </c>
      <c r="S89" s="9">
        <v>1</v>
      </c>
      <c r="T89" s="9">
        <v>0</v>
      </c>
      <c r="U89" s="9">
        <v>0</v>
      </c>
      <c r="V89" s="10">
        <f t="shared" si="0"/>
        <v>0.55555555555555558</v>
      </c>
      <c r="X89" s="108" t="s">
        <v>178</v>
      </c>
      <c r="Y89" s="9">
        <v>2018</v>
      </c>
    </row>
    <row r="90" spans="2:25" ht="13.2" x14ac:dyDescent="0.25">
      <c r="B90" s="109"/>
      <c r="C90" s="9">
        <v>2019</v>
      </c>
      <c r="D90" s="9">
        <v>1</v>
      </c>
      <c r="E90" s="9">
        <v>1</v>
      </c>
      <c r="F90" s="9">
        <v>0</v>
      </c>
      <c r="G90" s="9">
        <v>1</v>
      </c>
      <c r="H90" s="9">
        <v>1</v>
      </c>
      <c r="I90" s="9">
        <v>0</v>
      </c>
      <c r="J90" s="9">
        <v>0</v>
      </c>
      <c r="K90" s="9">
        <v>1</v>
      </c>
      <c r="L90" s="9">
        <v>1</v>
      </c>
      <c r="M90" s="9">
        <v>0</v>
      </c>
      <c r="N90" s="9">
        <v>0</v>
      </c>
      <c r="O90" s="9">
        <v>1</v>
      </c>
      <c r="P90" s="9">
        <v>0</v>
      </c>
      <c r="Q90" s="9">
        <v>1</v>
      </c>
      <c r="R90" s="9">
        <v>1</v>
      </c>
      <c r="S90" s="9">
        <v>1</v>
      </c>
      <c r="T90" s="9">
        <v>1</v>
      </c>
      <c r="U90" s="9">
        <v>1</v>
      </c>
      <c r="V90" s="10">
        <f t="shared" si="0"/>
        <v>0.66666666666666663</v>
      </c>
      <c r="X90" s="109"/>
      <c r="Y90" s="9">
        <v>2019</v>
      </c>
    </row>
    <row r="91" spans="2:25" ht="13.2" x14ac:dyDescent="0.25">
      <c r="B91" s="109"/>
      <c r="C91" s="9">
        <v>2020</v>
      </c>
      <c r="D91" s="9">
        <v>1</v>
      </c>
      <c r="E91" s="9">
        <v>1</v>
      </c>
      <c r="F91" s="9">
        <v>0</v>
      </c>
      <c r="G91" s="9">
        <v>1</v>
      </c>
      <c r="H91" s="9">
        <v>0</v>
      </c>
      <c r="I91" s="9">
        <v>1</v>
      </c>
      <c r="J91" s="9">
        <v>0</v>
      </c>
      <c r="K91" s="9">
        <v>1</v>
      </c>
      <c r="L91" s="9">
        <v>1</v>
      </c>
      <c r="M91" s="9">
        <v>1</v>
      </c>
      <c r="N91" s="9">
        <v>0</v>
      </c>
      <c r="O91" s="9">
        <v>0</v>
      </c>
      <c r="P91" s="9">
        <v>0</v>
      </c>
      <c r="Q91" s="9">
        <v>0</v>
      </c>
      <c r="R91" s="9">
        <v>0</v>
      </c>
      <c r="S91" s="9">
        <v>0</v>
      </c>
      <c r="T91" s="9">
        <v>1</v>
      </c>
      <c r="U91" s="9">
        <v>1</v>
      </c>
      <c r="V91" s="10">
        <f t="shared" si="0"/>
        <v>0.5</v>
      </c>
      <c r="X91" s="109"/>
      <c r="Y91" s="9">
        <v>2020</v>
      </c>
    </row>
    <row r="92" spans="2:25" ht="13.2" x14ac:dyDescent="0.25">
      <c r="B92" s="109"/>
      <c r="C92" s="9">
        <v>2021</v>
      </c>
      <c r="D92" s="9">
        <v>1</v>
      </c>
      <c r="E92" s="9">
        <v>1</v>
      </c>
      <c r="F92" s="9">
        <v>0</v>
      </c>
      <c r="G92" s="9">
        <v>0</v>
      </c>
      <c r="H92" s="9">
        <v>0</v>
      </c>
      <c r="I92" s="9">
        <v>0</v>
      </c>
      <c r="J92" s="9">
        <v>1</v>
      </c>
      <c r="K92" s="9">
        <v>1</v>
      </c>
      <c r="L92" s="9">
        <v>1</v>
      </c>
      <c r="M92" s="9">
        <v>1</v>
      </c>
      <c r="N92" s="9">
        <v>1</v>
      </c>
      <c r="O92" s="9">
        <v>0</v>
      </c>
      <c r="P92" s="9">
        <v>1</v>
      </c>
      <c r="Q92" s="9">
        <v>1</v>
      </c>
      <c r="R92" s="9">
        <v>0</v>
      </c>
      <c r="S92" s="9">
        <v>0</v>
      </c>
      <c r="T92" s="9">
        <v>0</v>
      </c>
      <c r="U92" s="9">
        <v>0</v>
      </c>
      <c r="V92" s="10">
        <f t="shared" si="0"/>
        <v>0.5</v>
      </c>
      <c r="X92" s="109"/>
      <c r="Y92" s="9">
        <v>2021</v>
      </c>
    </row>
    <row r="93" spans="2:25" ht="13.8" thickBot="1" x14ac:dyDescent="0.3">
      <c r="B93" s="110"/>
      <c r="C93" s="9">
        <v>2022</v>
      </c>
      <c r="D93" s="9">
        <v>1</v>
      </c>
      <c r="E93" s="9">
        <v>1</v>
      </c>
      <c r="F93" s="9">
        <v>0</v>
      </c>
      <c r="G93" s="9">
        <v>0</v>
      </c>
      <c r="H93" s="9">
        <v>0</v>
      </c>
      <c r="I93" s="9">
        <v>0</v>
      </c>
      <c r="J93" s="9">
        <v>0</v>
      </c>
      <c r="K93" s="9">
        <v>1</v>
      </c>
      <c r="L93" s="9">
        <v>1</v>
      </c>
      <c r="M93" s="9">
        <v>1</v>
      </c>
      <c r="N93" s="9">
        <v>0</v>
      </c>
      <c r="O93" s="9">
        <v>1</v>
      </c>
      <c r="P93" s="9">
        <v>1</v>
      </c>
      <c r="Q93" s="9">
        <v>1</v>
      </c>
      <c r="R93" s="9">
        <v>0</v>
      </c>
      <c r="S93" s="9">
        <v>0</v>
      </c>
      <c r="T93" s="9">
        <v>1</v>
      </c>
      <c r="U93" s="9">
        <v>1</v>
      </c>
      <c r="V93" s="10">
        <f t="shared" si="0"/>
        <v>0.55555555555555558</v>
      </c>
      <c r="X93" s="110"/>
      <c r="Y93" s="9">
        <v>2022</v>
      </c>
    </row>
    <row r="94" spans="2:25" ht="13.2" x14ac:dyDescent="0.25">
      <c r="B94" s="108" t="s">
        <v>179</v>
      </c>
      <c r="C94" s="9">
        <v>2018</v>
      </c>
      <c r="D94" s="9">
        <v>1</v>
      </c>
      <c r="E94" s="9">
        <v>1</v>
      </c>
      <c r="F94" s="9">
        <v>0</v>
      </c>
      <c r="G94" s="9">
        <v>0</v>
      </c>
      <c r="H94" s="9">
        <v>1</v>
      </c>
      <c r="I94" s="9">
        <v>0</v>
      </c>
      <c r="J94" s="9">
        <v>1</v>
      </c>
      <c r="K94" s="9">
        <v>1</v>
      </c>
      <c r="L94" s="9">
        <v>1</v>
      </c>
      <c r="M94" s="9">
        <v>0</v>
      </c>
      <c r="N94" s="9">
        <v>0</v>
      </c>
      <c r="O94" s="9">
        <v>0</v>
      </c>
      <c r="P94" s="9">
        <v>0</v>
      </c>
      <c r="Q94" s="9">
        <v>0</v>
      </c>
      <c r="R94" s="9">
        <v>0</v>
      </c>
      <c r="S94" s="9">
        <v>0</v>
      </c>
      <c r="T94" s="9">
        <v>0</v>
      </c>
      <c r="U94" s="9">
        <v>0</v>
      </c>
      <c r="V94" s="10">
        <f t="shared" si="0"/>
        <v>0.33333333333333331</v>
      </c>
      <c r="X94" s="108" t="s">
        <v>179</v>
      </c>
      <c r="Y94" s="9">
        <v>2018</v>
      </c>
    </row>
    <row r="95" spans="2:25" ht="13.2" x14ac:dyDescent="0.25">
      <c r="B95" s="109"/>
      <c r="C95" s="9">
        <v>2019</v>
      </c>
      <c r="D95" s="9">
        <v>1</v>
      </c>
      <c r="E95" s="9">
        <v>1</v>
      </c>
      <c r="F95" s="9">
        <v>1</v>
      </c>
      <c r="G95" s="9">
        <v>1</v>
      </c>
      <c r="H95" s="9">
        <v>1</v>
      </c>
      <c r="I95" s="9">
        <v>1</v>
      </c>
      <c r="J95" s="9">
        <v>1</v>
      </c>
      <c r="K95" s="9">
        <v>1</v>
      </c>
      <c r="L95" s="9">
        <v>1</v>
      </c>
      <c r="M95" s="9">
        <v>0</v>
      </c>
      <c r="N95" s="9">
        <v>0</v>
      </c>
      <c r="O95" s="9">
        <v>0</v>
      </c>
      <c r="P95" s="9">
        <v>0</v>
      </c>
      <c r="Q95" s="9">
        <v>1</v>
      </c>
      <c r="R95" s="9">
        <v>1</v>
      </c>
      <c r="S95" s="9">
        <v>1</v>
      </c>
      <c r="T95" s="9">
        <v>1</v>
      </c>
      <c r="U95" s="9">
        <v>0</v>
      </c>
      <c r="V95" s="10">
        <f t="shared" si="0"/>
        <v>0.72222222222222221</v>
      </c>
      <c r="X95" s="109"/>
      <c r="Y95" s="9">
        <v>2019</v>
      </c>
    </row>
    <row r="96" spans="2:25" ht="13.2" x14ac:dyDescent="0.25">
      <c r="B96" s="109"/>
      <c r="C96" s="9">
        <v>2020</v>
      </c>
      <c r="D96" s="9">
        <v>1</v>
      </c>
      <c r="E96" s="9">
        <v>1</v>
      </c>
      <c r="F96" s="9">
        <v>1</v>
      </c>
      <c r="G96" s="9">
        <v>1</v>
      </c>
      <c r="H96" s="9">
        <v>1</v>
      </c>
      <c r="I96" s="9">
        <v>1</v>
      </c>
      <c r="J96" s="9">
        <v>1</v>
      </c>
      <c r="K96" s="9">
        <v>1</v>
      </c>
      <c r="L96" s="9">
        <v>1</v>
      </c>
      <c r="M96" s="9">
        <v>0</v>
      </c>
      <c r="N96" s="9">
        <v>1</v>
      </c>
      <c r="O96" s="9">
        <v>1</v>
      </c>
      <c r="P96" s="9">
        <v>1</v>
      </c>
      <c r="Q96" s="9">
        <v>1</v>
      </c>
      <c r="R96" s="9">
        <v>1</v>
      </c>
      <c r="S96" s="9">
        <v>1</v>
      </c>
      <c r="T96" s="9">
        <v>1</v>
      </c>
      <c r="U96" s="9">
        <v>0</v>
      </c>
      <c r="V96" s="10">
        <f t="shared" si="0"/>
        <v>0.88888888888888884</v>
      </c>
      <c r="X96" s="109"/>
      <c r="Y96" s="9">
        <v>2020</v>
      </c>
    </row>
    <row r="97" spans="2:25" ht="13.2" x14ac:dyDescent="0.25">
      <c r="B97" s="109"/>
      <c r="C97" s="9">
        <v>2021</v>
      </c>
      <c r="D97" s="9">
        <v>1</v>
      </c>
      <c r="E97" s="9">
        <v>1</v>
      </c>
      <c r="F97" s="9">
        <v>1</v>
      </c>
      <c r="G97" s="9">
        <v>0</v>
      </c>
      <c r="H97" s="9">
        <v>0</v>
      </c>
      <c r="I97" s="9">
        <v>0</v>
      </c>
      <c r="J97" s="9">
        <v>1</v>
      </c>
      <c r="K97" s="9">
        <v>1</v>
      </c>
      <c r="L97" s="9">
        <v>1</v>
      </c>
      <c r="M97" s="9">
        <v>1</v>
      </c>
      <c r="N97" s="9">
        <v>0</v>
      </c>
      <c r="O97" s="9">
        <v>0</v>
      </c>
      <c r="P97" s="9">
        <v>1</v>
      </c>
      <c r="Q97" s="9">
        <v>1</v>
      </c>
      <c r="R97" s="9">
        <v>1</v>
      </c>
      <c r="S97" s="9">
        <v>1</v>
      </c>
      <c r="T97" s="9">
        <v>1</v>
      </c>
      <c r="U97" s="9">
        <v>0</v>
      </c>
      <c r="V97" s="10">
        <f t="shared" si="0"/>
        <v>0.66666666666666663</v>
      </c>
      <c r="X97" s="109"/>
      <c r="Y97" s="9">
        <v>2021</v>
      </c>
    </row>
    <row r="98" spans="2:25" ht="13.8" thickBot="1" x14ac:dyDescent="0.3">
      <c r="B98" s="110"/>
      <c r="C98" s="9">
        <v>2022</v>
      </c>
      <c r="D98" s="9">
        <v>1</v>
      </c>
      <c r="E98" s="9">
        <v>1</v>
      </c>
      <c r="F98" s="9">
        <v>1</v>
      </c>
      <c r="G98" s="9">
        <v>0</v>
      </c>
      <c r="H98" s="9">
        <v>0</v>
      </c>
      <c r="I98" s="9">
        <v>0</v>
      </c>
      <c r="J98" s="9">
        <v>1</v>
      </c>
      <c r="K98" s="9">
        <v>1</v>
      </c>
      <c r="L98" s="9">
        <v>1</v>
      </c>
      <c r="M98" s="9">
        <v>1</v>
      </c>
      <c r="N98" s="9">
        <v>1</v>
      </c>
      <c r="O98" s="9">
        <v>1</v>
      </c>
      <c r="P98" s="9">
        <v>1</v>
      </c>
      <c r="Q98" s="9">
        <v>1</v>
      </c>
      <c r="R98" s="9">
        <v>1</v>
      </c>
      <c r="S98" s="9">
        <v>1</v>
      </c>
      <c r="T98" s="9">
        <v>1</v>
      </c>
      <c r="U98" s="9">
        <v>0</v>
      </c>
      <c r="V98" s="10">
        <f t="shared" si="0"/>
        <v>0.77777777777777779</v>
      </c>
      <c r="X98" s="110"/>
      <c r="Y98" s="9">
        <v>2022</v>
      </c>
    </row>
    <row r="99" spans="2:25" ht="13.2" x14ac:dyDescent="0.25">
      <c r="B99" s="108" t="s">
        <v>180</v>
      </c>
      <c r="C99" s="9">
        <v>2018</v>
      </c>
      <c r="D99" s="9">
        <v>1</v>
      </c>
      <c r="E99" s="9">
        <v>1</v>
      </c>
      <c r="F99" s="9">
        <v>1</v>
      </c>
      <c r="G99" s="9">
        <v>0</v>
      </c>
      <c r="H99" s="9">
        <v>1</v>
      </c>
      <c r="I99" s="9">
        <v>1</v>
      </c>
      <c r="J99" s="9">
        <v>0</v>
      </c>
      <c r="K99" s="9">
        <v>1</v>
      </c>
      <c r="L99" s="9">
        <v>1</v>
      </c>
      <c r="M99" s="9">
        <v>0</v>
      </c>
      <c r="N99" s="9">
        <v>1</v>
      </c>
      <c r="O99" s="9">
        <v>1</v>
      </c>
      <c r="P99" s="9">
        <v>0</v>
      </c>
      <c r="Q99" s="9">
        <v>0</v>
      </c>
      <c r="R99" s="9">
        <v>1</v>
      </c>
      <c r="S99" s="9">
        <v>1</v>
      </c>
      <c r="T99" s="9">
        <v>0</v>
      </c>
      <c r="U99" s="9">
        <v>1</v>
      </c>
      <c r="V99" s="10">
        <f t="shared" si="0"/>
        <v>0.66666666666666663</v>
      </c>
      <c r="X99" s="108" t="s">
        <v>180</v>
      </c>
      <c r="Y99" s="9">
        <v>2018</v>
      </c>
    </row>
    <row r="100" spans="2:25" ht="13.2" x14ac:dyDescent="0.25">
      <c r="B100" s="109"/>
      <c r="C100" s="9">
        <v>2019</v>
      </c>
      <c r="D100" s="9">
        <v>1</v>
      </c>
      <c r="E100" s="9">
        <v>1</v>
      </c>
      <c r="F100" s="9">
        <v>0</v>
      </c>
      <c r="G100" s="9">
        <v>0</v>
      </c>
      <c r="H100" s="9">
        <v>0</v>
      </c>
      <c r="I100" s="9">
        <v>0</v>
      </c>
      <c r="J100" s="9">
        <v>0</v>
      </c>
      <c r="K100" s="9">
        <v>1</v>
      </c>
      <c r="L100" s="9">
        <v>1</v>
      </c>
      <c r="M100" s="9">
        <v>1</v>
      </c>
      <c r="N100" s="9">
        <v>0</v>
      </c>
      <c r="O100" s="9">
        <v>1</v>
      </c>
      <c r="P100" s="9">
        <v>1</v>
      </c>
      <c r="Q100" s="9">
        <v>0</v>
      </c>
      <c r="R100" s="9">
        <v>1</v>
      </c>
      <c r="S100" s="9">
        <v>0</v>
      </c>
      <c r="T100" s="9">
        <v>1</v>
      </c>
      <c r="U100" s="9">
        <v>0</v>
      </c>
      <c r="V100" s="10">
        <f t="shared" si="0"/>
        <v>0.5</v>
      </c>
      <c r="X100" s="109"/>
      <c r="Y100" s="9">
        <v>2019</v>
      </c>
    </row>
    <row r="101" spans="2:25" ht="13.2" x14ac:dyDescent="0.25">
      <c r="B101" s="109"/>
      <c r="C101" s="9">
        <v>2020</v>
      </c>
      <c r="D101" s="9">
        <v>1</v>
      </c>
      <c r="E101" s="9">
        <v>1</v>
      </c>
      <c r="F101" s="9">
        <v>1</v>
      </c>
      <c r="G101" s="9">
        <v>1</v>
      </c>
      <c r="H101" s="9">
        <v>0</v>
      </c>
      <c r="I101" s="9">
        <v>0</v>
      </c>
      <c r="J101" s="9">
        <v>1</v>
      </c>
      <c r="K101" s="9">
        <v>1</v>
      </c>
      <c r="L101" s="9">
        <v>1</v>
      </c>
      <c r="M101" s="9">
        <v>1</v>
      </c>
      <c r="N101" s="9">
        <v>0</v>
      </c>
      <c r="O101" s="9">
        <v>1</v>
      </c>
      <c r="P101" s="9">
        <v>1</v>
      </c>
      <c r="Q101" s="9">
        <v>0</v>
      </c>
      <c r="R101" s="9">
        <v>0</v>
      </c>
      <c r="S101" s="9">
        <v>1</v>
      </c>
      <c r="T101" s="9">
        <v>1</v>
      </c>
      <c r="U101" s="9">
        <v>0</v>
      </c>
      <c r="V101" s="10">
        <f t="shared" si="0"/>
        <v>0.66666666666666663</v>
      </c>
      <c r="X101" s="109"/>
      <c r="Y101" s="9">
        <v>2020</v>
      </c>
    </row>
    <row r="102" spans="2:25" ht="13.2" x14ac:dyDescent="0.25">
      <c r="B102" s="109"/>
      <c r="C102" s="9">
        <v>2021</v>
      </c>
      <c r="D102" s="9">
        <v>1</v>
      </c>
      <c r="E102" s="9">
        <v>1</v>
      </c>
      <c r="F102" s="9">
        <v>1</v>
      </c>
      <c r="G102" s="9">
        <v>0</v>
      </c>
      <c r="H102" s="9">
        <v>1</v>
      </c>
      <c r="I102" s="9">
        <v>1</v>
      </c>
      <c r="J102" s="9">
        <v>1</v>
      </c>
      <c r="K102" s="9">
        <v>1</v>
      </c>
      <c r="L102" s="9">
        <v>1</v>
      </c>
      <c r="M102" s="9">
        <v>1</v>
      </c>
      <c r="N102" s="9">
        <v>0</v>
      </c>
      <c r="O102" s="9">
        <v>1</v>
      </c>
      <c r="P102" s="9">
        <v>0</v>
      </c>
      <c r="Q102" s="9">
        <v>0</v>
      </c>
      <c r="R102" s="9">
        <v>1</v>
      </c>
      <c r="S102" s="9">
        <v>0</v>
      </c>
      <c r="T102" s="9">
        <v>0</v>
      </c>
      <c r="U102" s="9">
        <v>1</v>
      </c>
      <c r="V102" s="10">
        <f t="shared" si="0"/>
        <v>0.66666666666666663</v>
      </c>
      <c r="X102" s="109"/>
      <c r="Y102" s="9">
        <v>2021</v>
      </c>
    </row>
    <row r="103" spans="2:25" ht="13.8" thickBot="1" x14ac:dyDescent="0.3">
      <c r="B103" s="110"/>
      <c r="C103" s="9">
        <v>2022</v>
      </c>
      <c r="D103" s="9">
        <v>1</v>
      </c>
      <c r="E103" s="9">
        <v>1</v>
      </c>
      <c r="F103" s="9">
        <v>1</v>
      </c>
      <c r="G103" s="9">
        <v>1</v>
      </c>
      <c r="H103" s="9">
        <v>0</v>
      </c>
      <c r="I103" s="9">
        <v>0</v>
      </c>
      <c r="J103" s="9">
        <v>1</v>
      </c>
      <c r="K103" s="9">
        <v>1</v>
      </c>
      <c r="L103" s="9">
        <v>1</v>
      </c>
      <c r="M103" s="9">
        <v>0</v>
      </c>
      <c r="N103" s="9">
        <v>0</v>
      </c>
      <c r="O103" s="9">
        <v>1</v>
      </c>
      <c r="P103" s="9">
        <v>0</v>
      </c>
      <c r="Q103" s="9">
        <v>0</v>
      </c>
      <c r="R103" s="9">
        <v>0</v>
      </c>
      <c r="S103" s="9">
        <v>0</v>
      </c>
      <c r="T103" s="9">
        <v>1</v>
      </c>
      <c r="U103" s="9">
        <v>0</v>
      </c>
      <c r="V103" s="10">
        <f t="shared" si="0"/>
        <v>0.5</v>
      </c>
      <c r="X103" s="110"/>
      <c r="Y103" s="9">
        <v>2022</v>
      </c>
    </row>
    <row r="104" spans="2:25" ht="13.2" x14ac:dyDescent="0.25">
      <c r="B104" s="108" t="s">
        <v>181</v>
      </c>
      <c r="C104" s="9">
        <v>2018</v>
      </c>
      <c r="D104" s="9">
        <v>1</v>
      </c>
      <c r="E104" s="9">
        <v>1</v>
      </c>
      <c r="F104" s="9">
        <v>1</v>
      </c>
      <c r="G104" s="9">
        <v>1</v>
      </c>
      <c r="H104" s="9">
        <v>1</v>
      </c>
      <c r="I104" s="9">
        <v>0</v>
      </c>
      <c r="J104" s="9">
        <v>1</v>
      </c>
      <c r="K104" s="9">
        <v>1</v>
      </c>
      <c r="L104" s="9">
        <v>1</v>
      </c>
      <c r="M104" s="9">
        <v>0</v>
      </c>
      <c r="N104" s="9">
        <v>0</v>
      </c>
      <c r="O104" s="9">
        <v>0</v>
      </c>
      <c r="P104" s="9">
        <v>1</v>
      </c>
      <c r="Q104" s="9">
        <v>0</v>
      </c>
      <c r="R104" s="9">
        <v>0</v>
      </c>
      <c r="S104" s="9">
        <v>1</v>
      </c>
      <c r="T104" s="9">
        <v>1</v>
      </c>
      <c r="U104" s="9">
        <v>0</v>
      </c>
      <c r="V104" s="10">
        <f t="shared" si="0"/>
        <v>0.61111111111111116</v>
      </c>
      <c r="X104" s="108" t="s">
        <v>181</v>
      </c>
      <c r="Y104" s="9">
        <v>2018</v>
      </c>
    </row>
    <row r="105" spans="2:25" ht="13.2" x14ac:dyDescent="0.25">
      <c r="B105" s="109"/>
      <c r="C105" s="9">
        <v>2019</v>
      </c>
      <c r="D105" s="9">
        <v>1</v>
      </c>
      <c r="E105" s="9">
        <v>1</v>
      </c>
      <c r="F105" s="9">
        <v>1</v>
      </c>
      <c r="G105" s="9">
        <v>0</v>
      </c>
      <c r="H105" s="9">
        <v>1</v>
      </c>
      <c r="I105" s="9">
        <v>0</v>
      </c>
      <c r="J105" s="9">
        <v>0</v>
      </c>
      <c r="K105" s="9">
        <v>1</v>
      </c>
      <c r="L105" s="9">
        <v>1</v>
      </c>
      <c r="M105" s="9">
        <v>1</v>
      </c>
      <c r="N105" s="9">
        <v>0</v>
      </c>
      <c r="O105" s="9">
        <v>0</v>
      </c>
      <c r="P105" s="9">
        <v>1</v>
      </c>
      <c r="Q105" s="9">
        <v>0</v>
      </c>
      <c r="R105" s="9">
        <v>1</v>
      </c>
      <c r="S105" s="9">
        <v>1</v>
      </c>
      <c r="T105" s="9">
        <v>1</v>
      </c>
      <c r="U105" s="9">
        <v>1</v>
      </c>
      <c r="V105" s="10">
        <f t="shared" si="0"/>
        <v>0.66666666666666663</v>
      </c>
      <c r="X105" s="109"/>
      <c r="Y105" s="9">
        <v>2019</v>
      </c>
    </row>
    <row r="106" spans="2:25" ht="13.2" x14ac:dyDescent="0.25">
      <c r="B106" s="109"/>
      <c r="C106" s="9">
        <v>2020</v>
      </c>
      <c r="D106" s="9">
        <v>1</v>
      </c>
      <c r="E106" s="9">
        <v>1</v>
      </c>
      <c r="F106" s="9">
        <v>0</v>
      </c>
      <c r="G106" s="9">
        <v>0</v>
      </c>
      <c r="H106" s="9">
        <v>1</v>
      </c>
      <c r="I106" s="9">
        <v>1</v>
      </c>
      <c r="J106" s="9">
        <v>0</v>
      </c>
      <c r="K106" s="9">
        <v>1</v>
      </c>
      <c r="L106" s="9">
        <v>1</v>
      </c>
      <c r="M106" s="9">
        <v>0</v>
      </c>
      <c r="N106" s="9">
        <v>0</v>
      </c>
      <c r="O106" s="9">
        <v>1</v>
      </c>
      <c r="P106" s="9">
        <v>0</v>
      </c>
      <c r="Q106" s="9">
        <v>1</v>
      </c>
      <c r="R106" s="9">
        <v>0</v>
      </c>
      <c r="S106" s="9">
        <v>1</v>
      </c>
      <c r="T106" s="9">
        <v>1</v>
      </c>
      <c r="U106" s="9">
        <v>1</v>
      </c>
      <c r="V106" s="10">
        <f t="shared" si="0"/>
        <v>0.61111111111111116</v>
      </c>
      <c r="X106" s="109"/>
      <c r="Y106" s="9">
        <v>2020</v>
      </c>
    </row>
    <row r="107" spans="2:25" ht="13.2" x14ac:dyDescent="0.25">
      <c r="B107" s="109"/>
      <c r="C107" s="9">
        <v>2021</v>
      </c>
      <c r="D107" s="9">
        <v>1</v>
      </c>
      <c r="E107" s="9">
        <v>1</v>
      </c>
      <c r="F107" s="9">
        <v>1</v>
      </c>
      <c r="G107" s="9">
        <v>1</v>
      </c>
      <c r="H107" s="9">
        <v>1</v>
      </c>
      <c r="I107" s="9">
        <v>1</v>
      </c>
      <c r="J107" s="9">
        <v>0</v>
      </c>
      <c r="K107" s="9">
        <v>1</v>
      </c>
      <c r="L107" s="9">
        <v>1</v>
      </c>
      <c r="M107" s="9">
        <v>1</v>
      </c>
      <c r="N107" s="9">
        <v>0</v>
      </c>
      <c r="O107" s="9">
        <v>0</v>
      </c>
      <c r="P107" s="9">
        <v>1</v>
      </c>
      <c r="Q107" s="9">
        <v>1</v>
      </c>
      <c r="R107" s="9">
        <v>0</v>
      </c>
      <c r="S107" s="9">
        <v>1</v>
      </c>
      <c r="T107" s="9">
        <v>0</v>
      </c>
      <c r="U107" s="9">
        <v>0</v>
      </c>
      <c r="V107" s="10">
        <f t="shared" si="0"/>
        <v>0.66666666666666663</v>
      </c>
      <c r="X107" s="109"/>
      <c r="Y107" s="9">
        <v>2021</v>
      </c>
    </row>
    <row r="108" spans="2:25" ht="13.8" thickBot="1" x14ac:dyDescent="0.3">
      <c r="B108" s="110"/>
      <c r="C108" s="9">
        <v>2022</v>
      </c>
      <c r="D108" s="9">
        <v>1</v>
      </c>
      <c r="E108" s="9">
        <v>1</v>
      </c>
      <c r="F108" s="9">
        <v>1</v>
      </c>
      <c r="G108" s="9">
        <v>1</v>
      </c>
      <c r="H108" s="9">
        <v>1</v>
      </c>
      <c r="I108" s="9">
        <v>1</v>
      </c>
      <c r="J108" s="9">
        <v>1</v>
      </c>
      <c r="K108" s="9">
        <v>1</v>
      </c>
      <c r="L108" s="9">
        <v>1</v>
      </c>
      <c r="M108" s="9">
        <v>1</v>
      </c>
      <c r="N108" s="9">
        <v>0</v>
      </c>
      <c r="O108" s="9">
        <v>1</v>
      </c>
      <c r="P108" s="9">
        <v>1</v>
      </c>
      <c r="Q108" s="9">
        <v>0</v>
      </c>
      <c r="R108" s="9">
        <v>1</v>
      </c>
      <c r="S108" s="9">
        <v>0</v>
      </c>
      <c r="T108" s="9">
        <v>0</v>
      </c>
      <c r="U108" s="9">
        <v>0</v>
      </c>
      <c r="V108" s="10">
        <f t="shared" si="0"/>
        <v>0.72222222222222221</v>
      </c>
      <c r="X108" s="110"/>
      <c r="Y108" s="9">
        <v>2022</v>
      </c>
    </row>
    <row r="109" spans="2:25" ht="13.2" x14ac:dyDescent="0.25">
      <c r="B109" s="108" t="s">
        <v>182</v>
      </c>
      <c r="C109" s="9">
        <v>2018</v>
      </c>
      <c r="D109" s="9">
        <v>1</v>
      </c>
      <c r="E109" s="9">
        <v>1</v>
      </c>
      <c r="F109" s="9">
        <v>1</v>
      </c>
      <c r="G109" s="9">
        <v>0</v>
      </c>
      <c r="H109" s="9">
        <v>1</v>
      </c>
      <c r="I109" s="9">
        <v>0</v>
      </c>
      <c r="J109" s="9">
        <v>0</v>
      </c>
      <c r="K109" s="9">
        <v>1</v>
      </c>
      <c r="L109" s="9">
        <v>1</v>
      </c>
      <c r="M109" s="9">
        <v>1</v>
      </c>
      <c r="N109" s="9">
        <v>1</v>
      </c>
      <c r="O109" s="9">
        <v>1</v>
      </c>
      <c r="P109" s="9">
        <v>0</v>
      </c>
      <c r="Q109" s="9">
        <v>1</v>
      </c>
      <c r="R109" s="9">
        <v>1</v>
      </c>
      <c r="S109" s="9">
        <v>1</v>
      </c>
      <c r="T109" s="9">
        <v>1</v>
      </c>
      <c r="U109" s="9">
        <v>0</v>
      </c>
      <c r="V109" s="10">
        <f t="shared" si="0"/>
        <v>0.72222222222222221</v>
      </c>
      <c r="X109" s="108" t="s">
        <v>182</v>
      </c>
      <c r="Y109" s="9">
        <v>2018</v>
      </c>
    </row>
    <row r="110" spans="2:25" ht="13.2" x14ac:dyDescent="0.25">
      <c r="B110" s="109"/>
      <c r="C110" s="9">
        <v>2019</v>
      </c>
      <c r="D110" s="9">
        <v>1</v>
      </c>
      <c r="E110" s="9">
        <v>1</v>
      </c>
      <c r="F110" s="9">
        <v>0</v>
      </c>
      <c r="G110" s="9">
        <v>0</v>
      </c>
      <c r="H110" s="9">
        <v>0</v>
      </c>
      <c r="I110" s="9">
        <v>1</v>
      </c>
      <c r="J110" s="9">
        <v>0</v>
      </c>
      <c r="K110" s="9">
        <v>1</v>
      </c>
      <c r="L110" s="9">
        <v>1</v>
      </c>
      <c r="M110" s="9">
        <v>1</v>
      </c>
      <c r="N110" s="9">
        <v>1</v>
      </c>
      <c r="O110" s="9">
        <v>1</v>
      </c>
      <c r="P110" s="9">
        <v>1</v>
      </c>
      <c r="Q110" s="9">
        <v>0</v>
      </c>
      <c r="R110" s="9">
        <v>1</v>
      </c>
      <c r="S110" s="9">
        <v>1</v>
      </c>
      <c r="T110" s="9">
        <v>0</v>
      </c>
      <c r="U110" s="9">
        <v>1</v>
      </c>
      <c r="V110" s="10">
        <f t="shared" si="0"/>
        <v>0.66666666666666663</v>
      </c>
      <c r="X110" s="109"/>
      <c r="Y110" s="9">
        <v>2019</v>
      </c>
    </row>
    <row r="111" spans="2:25" ht="13.2" x14ac:dyDescent="0.25">
      <c r="B111" s="109"/>
      <c r="C111" s="9">
        <v>2020</v>
      </c>
      <c r="D111" s="9">
        <v>1</v>
      </c>
      <c r="E111" s="9">
        <v>1</v>
      </c>
      <c r="F111" s="9">
        <v>0</v>
      </c>
      <c r="G111" s="9">
        <v>0</v>
      </c>
      <c r="H111" s="9">
        <v>0</v>
      </c>
      <c r="I111" s="9">
        <v>0</v>
      </c>
      <c r="J111" s="9">
        <v>0</v>
      </c>
      <c r="K111" s="9">
        <v>1</v>
      </c>
      <c r="L111" s="9">
        <v>1</v>
      </c>
      <c r="M111" s="9">
        <v>0</v>
      </c>
      <c r="N111" s="9">
        <v>0</v>
      </c>
      <c r="O111" s="9">
        <v>0</v>
      </c>
      <c r="P111" s="9">
        <v>0</v>
      </c>
      <c r="Q111" s="9">
        <v>1</v>
      </c>
      <c r="R111" s="9">
        <v>0</v>
      </c>
      <c r="S111" s="9">
        <v>1</v>
      </c>
      <c r="T111" s="9">
        <v>0</v>
      </c>
      <c r="U111" s="9">
        <v>0</v>
      </c>
      <c r="V111" s="10">
        <f t="shared" si="0"/>
        <v>0.33333333333333331</v>
      </c>
      <c r="X111" s="109"/>
      <c r="Y111" s="9">
        <v>2020</v>
      </c>
    </row>
    <row r="112" spans="2:25" ht="13.2" x14ac:dyDescent="0.25">
      <c r="B112" s="109"/>
      <c r="C112" s="9">
        <v>2021</v>
      </c>
      <c r="D112" s="9">
        <v>1</v>
      </c>
      <c r="E112" s="9">
        <v>1</v>
      </c>
      <c r="F112" s="9">
        <v>0</v>
      </c>
      <c r="G112" s="9">
        <v>1</v>
      </c>
      <c r="H112" s="9">
        <v>1</v>
      </c>
      <c r="I112" s="9">
        <v>1</v>
      </c>
      <c r="J112" s="9">
        <v>0</v>
      </c>
      <c r="K112" s="9">
        <v>1</v>
      </c>
      <c r="L112" s="9">
        <v>1</v>
      </c>
      <c r="M112" s="9">
        <v>1</v>
      </c>
      <c r="N112" s="9">
        <v>1</v>
      </c>
      <c r="O112" s="9">
        <v>1</v>
      </c>
      <c r="P112" s="9">
        <v>1</v>
      </c>
      <c r="Q112" s="9">
        <v>1</v>
      </c>
      <c r="R112" s="9">
        <v>1</v>
      </c>
      <c r="S112" s="9">
        <v>0</v>
      </c>
      <c r="T112" s="9">
        <v>1</v>
      </c>
      <c r="U112" s="9">
        <v>1</v>
      </c>
      <c r="V112" s="10">
        <f t="shared" si="0"/>
        <v>0.83333333333333337</v>
      </c>
      <c r="X112" s="109"/>
      <c r="Y112" s="9">
        <v>2021</v>
      </c>
    </row>
    <row r="113" spans="2:25" ht="13.8" thickBot="1" x14ac:dyDescent="0.3">
      <c r="B113" s="110"/>
      <c r="C113" s="9">
        <v>2022</v>
      </c>
      <c r="D113" s="9">
        <v>1</v>
      </c>
      <c r="E113" s="9">
        <v>1</v>
      </c>
      <c r="F113" s="9">
        <v>1</v>
      </c>
      <c r="G113" s="9">
        <v>1</v>
      </c>
      <c r="H113" s="9">
        <v>0</v>
      </c>
      <c r="I113" s="9">
        <v>0</v>
      </c>
      <c r="J113" s="9">
        <v>1</v>
      </c>
      <c r="K113" s="9">
        <v>1</v>
      </c>
      <c r="L113" s="9">
        <v>1</v>
      </c>
      <c r="M113" s="9">
        <v>0</v>
      </c>
      <c r="N113" s="9">
        <v>1</v>
      </c>
      <c r="O113" s="9">
        <v>0</v>
      </c>
      <c r="P113" s="9">
        <v>1</v>
      </c>
      <c r="Q113" s="9">
        <v>1</v>
      </c>
      <c r="R113" s="9">
        <v>1</v>
      </c>
      <c r="S113" s="9">
        <v>1</v>
      </c>
      <c r="T113" s="9">
        <v>1</v>
      </c>
      <c r="U113" s="9">
        <v>0</v>
      </c>
      <c r="V113" s="10">
        <f t="shared" si="0"/>
        <v>0.72222222222222221</v>
      </c>
      <c r="X113" s="110"/>
      <c r="Y113" s="9">
        <v>2022</v>
      </c>
    </row>
    <row r="114" spans="2:25" ht="13.2" x14ac:dyDescent="0.25">
      <c r="B114" s="108" t="s">
        <v>183</v>
      </c>
      <c r="C114" s="9">
        <v>2018</v>
      </c>
      <c r="D114" s="9">
        <v>1</v>
      </c>
      <c r="E114" s="9">
        <v>1</v>
      </c>
      <c r="F114" s="9">
        <v>1</v>
      </c>
      <c r="G114" s="9">
        <v>0</v>
      </c>
      <c r="H114" s="9">
        <v>1</v>
      </c>
      <c r="I114" s="9">
        <v>0</v>
      </c>
      <c r="J114" s="9">
        <v>0</v>
      </c>
      <c r="K114" s="9">
        <v>1</v>
      </c>
      <c r="L114" s="9">
        <v>1</v>
      </c>
      <c r="M114" s="9">
        <v>0</v>
      </c>
      <c r="N114" s="9">
        <v>1</v>
      </c>
      <c r="O114" s="9">
        <v>0</v>
      </c>
      <c r="P114" s="9">
        <v>1</v>
      </c>
      <c r="Q114" s="9">
        <v>0</v>
      </c>
      <c r="R114" s="9">
        <v>1</v>
      </c>
      <c r="S114" s="9">
        <v>1</v>
      </c>
      <c r="T114" s="9">
        <v>0</v>
      </c>
      <c r="U114" s="9">
        <v>0</v>
      </c>
      <c r="V114" s="10">
        <f t="shared" si="0"/>
        <v>0.55555555555555558</v>
      </c>
      <c r="X114" s="108" t="s">
        <v>183</v>
      </c>
      <c r="Y114" s="9">
        <v>2018</v>
      </c>
    </row>
    <row r="115" spans="2:25" ht="13.2" x14ac:dyDescent="0.25">
      <c r="B115" s="109"/>
      <c r="C115" s="9">
        <v>2019</v>
      </c>
      <c r="D115" s="9">
        <v>1</v>
      </c>
      <c r="E115" s="9">
        <v>1</v>
      </c>
      <c r="F115" s="9">
        <v>1</v>
      </c>
      <c r="G115" s="9">
        <v>1</v>
      </c>
      <c r="H115" s="9">
        <v>0</v>
      </c>
      <c r="I115" s="9">
        <v>0</v>
      </c>
      <c r="J115" s="9">
        <v>1</v>
      </c>
      <c r="K115" s="9">
        <v>1</v>
      </c>
      <c r="L115" s="9">
        <v>1</v>
      </c>
      <c r="M115" s="9">
        <v>0</v>
      </c>
      <c r="N115" s="9">
        <v>0</v>
      </c>
      <c r="O115" s="9">
        <v>1</v>
      </c>
      <c r="P115" s="9">
        <v>1</v>
      </c>
      <c r="Q115" s="9">
        <v>1</v>
      </c>
      <c r="R115" s="9">
        <v>1</v>
      </c>
      <c r="S115" s="9">
        <v>0</v>
      </c>
      <c r="T115" s="9">
        <v>1</v>
      </c>
      <c r="U115" s="9">
        <v>0</v>
      </c>
      <c r="V115" s="10">
        <f t="shared" si="0"/>
        <v>0.66666666666666663</v>
      </c>
      <c r="X115" s="109"/>
      <c r="Y115" s="9">
        <v>2019</v>
      </c>
    </row>
    <row r="116" spans="2:25" ht="13.2" x14ac:dyDescent="0.25">
      <c r="B116" s="109"/>
      <c r="C116" s="9">
        <v>2020</v>
      </c>
      <c r="D116" s="9">
        <v>1</v>
      </c>
      <c r="E116" s="9">
        <v>1</v>
      </c>
      <c r="F116" s="9">
        <v>0</v>
      </c>
      <c r="G116" s="9">
        <v>1</v>
      </c>
      <c r="H116" s="9">
        <v>0</v>
      </c>
      <c r="I116" s="9">
        <v>1</v>
      </c>
      <c r="J116" s="9">
        <v>1</v>
      </c>
      <c r="K116" s="9">
        <v>1</v>
      </c>
      <c r="L116" s="9">
        <v>1</v>
      </c>
      <c r="M116" s="9">
        <v>1</v>
      </c>
      <c r="N116" s="9">
        <v>1</v>
      </c>
      <c r="O116" s="9">
        <v>1</v>
      </c>
      <c r="P116" s="9">
        <v>0</v>
      </c>
      <c r="Q116" s="9">
        <v>0</v>
      </c>
      <c r="R116" s="9">
        <v>0</v>
      </c>
      <c r="S116" s="9">
        <v>1</v>
      </c>
      <c r="T116" s="9">
        <v>1</v>
      </c>
      <c r="U116" s="9">
        <v>0</v>
      </c>
      <c r="V116" s="10">
        <f t="shared" si="0"/>
        <v>0.66666666666666663</v>
      </c>
      <c r="X116" s="109"/>
      <c r="Y116" s="9">
        <v>2020</v>
      </c>
    </row>
    <row r="117" spans="2:25" ht="13.2" x14ac:dyDescent="0.25">
      <c r="B117" s="109"/>
      <c r="C117" s="9">
        <v>2021</v>
      </c>
      <c r="D117" s="9">
        <v>1</v>
      </c>
      <c r="E117" s="9">
        <v>1</v>
      </c>
      <c r="F117" s="9">
        <v>1</v>
      </c>
      <c r="G117" s="9">
        <v>1</v>
      </c>
      <c r="H117" s="9">
        <v>0</v>
      </c>
      <c r="I117" s="9">
        <v>1</v>
      </c>
      <c r="J117" s="9">
        <v>1</v>
      </c>
      <c r="K117" s="9">
        <v>1</v>
      </c>
      <c r="L117" s="9">
        <v>1</v>
      </c>
      <c r="M117" s="9">
        <v>0</v>
      </c>
      <c r="N117" s="9">
        <v>0</v>
      </c>
      <c r="O117" s="9">
        <v>0</v>
      </c>
      <c r="P117" s="9">
        <v>0</v>
      </c>
      <c r="Q117" s="9">
        <v>0</v>
      </c>
      <c r="R117" s="9">
        <v>1</v>
      </c>
      <c r="S117" s="9">
        <v>1</v>
      </c>
      <c r="T117" s="9">
        <v>0</v>
      </c>
      <c r="U117" s="9">
        <v>1</v>
      </c>
      <c r="V117" s="10">
        <f t="shared" si="0"/>
        <v>0.61111111111111116</v>
      </c>
      <c r="X117" s="109"/>
      <c r="Y117" s="9">
        <v>2021</v>
      </c>
    </row>
    <row r="118" spans="2:25" ht="13.8" thickBot="1" x14ac:dyDescent="0.3">
      <c r="B118" s="110"/>
      <c r="C118" s="9">
        <v>2022</v>
      </c>
      <c r="D118" s="9">
        <v>1</v>
      </c>
      <c r="E118" s="9">
        <v>1</v>
      </c>
      <c r="F118" s="9">
        <v>0</v>
      </c>
      <c r="G118" s="9">
        <v>1</v>
      </c>
      <c r="H118" s="9">
        <v>1</v>
      </c>
      <c r="I118" s="9">
        <v>1</v>
      </c>
      <c r="J118" s="9">
        <v>1</v>
      </c>
      <c r="K118" s="9">
        <v>1</v>
      </c>
      <c r="L118" s="9">
        <v>1</v>
      </c>
      <c r="M118" s="9">
        <v>0</v>
      </c>
      <c r="N118" s="9">
        <v>1</v>
      </c>
      <c r="O118" s="9">
        <v>1</v>
      </c>
      <c r="P118" s="9">
        <v>0</v>
      </c>
      <c r="Q118" s="9">
        <v>1</v>
      </c>
      <c r="R118" s="9">
        <v>1</v>
      </c>
      <c r="S118" s="9">
        <v>1</v>
      </c>
      <c r="T118" s="9">
        <v>0</v>
      </c>
      <c r="U118" s="9">
        <v>0</v>
      </c>
      <c r="V118" s="10">
        <f t="shared" si="0"/>
        <v>0.72222222222222221</v>
      </c>
      <c r="X118" s="110"/>
      <c r="Y118" s="9">
        <v>2022</v>
      </c>
    </row>
    <row r="119" spans="2:25" ht="13.2" x14ac:dyDescent="0.25">
      <c r="B119" s="108" t="s">
        <v>184</v>
      </c>
      <c r="C119" s="9">
        <v>2018</v>
      </c>
      <c r="D119" s="9">
        <v>1</v>
      </c>
      <c r="E119" s="9">
        <v>1</v>
      </c>
      <c r="F119" s="9">
        <v>1</v>
      </c>
      <c r="G119" s="9">
        <v>0</v>
      </c>
      <c r="H119" s="9">
        <v>1</v>
      </c>
      <c r="I119" s="9">
        <v>0</v>
      </c>
      <c r="J119" s="9">
        <v>1</v>
      </c>
      <c r="K119" s="9">
        <v>1</v>
      </c>
      <c r="L119" s="9">
        <v>1</v>
      </c>
      <c r="M119" s="9">
        <v>0</v>
      </c>
      <c r="N119" s="9">
        <v>0</v>
      </c>
      <c r="O119" s="9">
        <v>0</v>
      </c>
      <c r="P119" s="9">
        <v>0</v>
      </c>
      <c r="Q119" s="9">
        <v>0</v>
      </c>
      <c r="R119" s="9">
        <v>1</v>
      </c>
      <c r="S119" s="9">
        <v>0</v>
      </c>
      <c r="T119" s="9">
        <v>0</v>
      </c>
      <c r="U119" s="9">
        <v>1</v>
      </c>
      <c r="V119" s="10">
        <f t="shared" si="0"/>
        <v>0.5</v>
      </c>
      <c r="X119" s="108" t="s">
        <v>184</v>
      </c>
      <c r="Y119" s="9">
        <v>2018</v>
      </c>
    </row>
    <row r="120" spans="2:25" ht="13.2" x14ac:dyDescent="0.25">
      <c r="B120" s="109"/>
      <c r="C120" s="9">
        <v>2019</v>
      </c>
      <c r="D120" s="9">
        <v>1</v>
      </c>
      <c r="E120" s="9">
        <v>1</v>
      </c>
      <c r="F120" s="9">
        <v>0</v>
      </c>
      <c r="G120" s="9">
        <v>1</v>
      </c>
      <c r="H120" s="9">
        <v>0</v>
      </c>
      <c r="I120" s="9">
        <v>1</v>
      </c>
      <c r="J120" s="9">
        <v>1</v>
      </c>
      <c r="K120" s="9">
        <v>1</v>
      </c>
      <c r="L120" s="9">
        <v>1</v>
      </c>
      <c r="M120" s="9">
        <v>1</v>
      </c>
      <c r="N120" s="9">
        <v>0</v>
      </c>
      <c r="O120" s="9">
        <v>0</v>
      </c>
      <c r="P120" s="9">
        <v>0</v>
      </c>
      <c r="Q120" s="9">
        <v>1</v>
      </c>
      <c r="R120" s="9">
        <v>1</v>
      </c>
      <c r="S120" s="9">
        <v>0</v>
      </c>
      <c r="T120" s="9">
        <v>0</v>
      </c>
      <c r="U120" s="9">
        <v>0</v>
      </c>
      <c r="V120" s="10">
        <f t="shared" si="0"/>
        <v>0.55555555555555558</v>
      </c>
      <c r="X120" s="109"/>
      <c r="Y120" s="9">
        <v>2019</v>
      </c>
    </row>
    <row r="121" spans="2:25" ht="13.2" x14ac:dyDescent="0.25">
      <c r="B121" s="109"/>
      <c r="C121" s="9">
        <v>2020</v>
      </c>
      <c r="D121" s="9">
        <v>1</v>
      </c>
      <c r="E121" s="9">
        <v>1</v>
      </c>
      <c r="F121" s="9">
        <v>1</v>
      </c>
      <c r="G121" s="9">
        <v>0</v>
      </c>
      <c r="H121" s="9">
        <v>1</v>
      </c>
      <c r="I121" s="9">
        <v>0</v>
      </c>
      <c r="J121" s="9">
        <v>1</v>
      </c>
      <c r="K121" s="9">
        <v>1</v>
      </c>
      <c r="L121" s="9">
        <v>1</v>
      </c>
      <c r="M121" s="9">
        <v>1</v>
      </c>
      <c r="N121" s="9">
        <v>1</v>
      </c>
      <c r="O121" s="9">
        <v>0</v>
      </c>
      <c r="P121" s="9">
        <v>1</v>
      </c>
      <c r="Q121" s="9">
        <v>0</v>
      </c>
      <c r="R121" s="9">
        <v>1</v>
      </c>
      <c r="S121" s="9">
        <v>1</v>
      </c>
      <c r="T121" s="9">
        <v>0</v>
      </c>
      <c r="U121" s="9">
        <v>1</v>
      </c>
      <c r="V121" s="10">
        <f t="shared" si="0"/>
        <v>0.72222222222222221</v>
      </c>
      <c r="X121" s="109"/>
      <c r="Y121" s="9">
        <v>2020</v>
      </c>
    </row>
    <row r="122" spans="2:25" ht="13.2" x14ac:dyDescent="0.25">
      <c r="B122" s="109"/>
      <c r="C122" s="9">
        <v>2021</v>
      </c>
      <c r="D122" s="9">
        <v>1</v>
      </c>
      <c r="E122" s="9">
        <v>1</v>
      </c>
      <c r="F122" s="9">
        <v>0</v>
      </c>
      <c r="G122" s="9">
        <v>1</v>
      </c>
      <c r="H122" s="9">
        <v>0</v>
      </c>
      <c r="I122" s="9">
        <v>1</v>
      </c>
      <c r="J122" s="9">
        <v>1</v>
      </c>
      <c r="K122" s="9">
        <v>1</v>
      </c>
      <c r="L122" s="9">
        <v>1</v>
      </c>
      <c r="M122" s="9">
        <v>0</v>
      </c>
      <c r="N122" s="9">
        <v>0</v>
      </c>
      <c r="O122" s="9">
        <v>1</v>
      </c>
      <c r="P122" s="9">
        <v>1</v>
      </c>
      <c r="Q122" s="9">
        <v>1</v>
      </c>
      <c r="R122" s="9">
        <v>0</v>
      </c>
      <c r="S122" s="9">
        <v>1</v>
      </c>
      <c r="T122" s="9">
        <v>0</v>
      </c>
      <c r="U122" s="9">
        <v>1</v>
      </c>
      <c r="V122" s="10">
        <f t="shared" si="0"/>
        <v>0.66666666666666663</v>
      </c>
      <c r="X122" s="109"/>
      <c r="Y122" s="9">
        <v>2021</v>
      </c>
    </row>
    <row r="123" spans="2:25" ht="13.8" thickBot="1" x14ac:dyDescent="0.3">
      <c r="B123" s="110"/>
      <c r="C123" s="14">
        <v>2022</v>
      </c>
      <c r="D123" s="9">
        <v>1</v>
      </c>
      <c r="E123" s="9">
        <v>1</v>
      </c>
      <c r="F123" s="9">
        <v>0</v>
      </c>
      <c r="G123" s="9">
        <v>0</v>
      </c>
      <c r="H123" s="9">
        <v>0</v>
      </c>
      <c r="I123" s="9">
        <v>0</v>
      </c>
      <c r="J123" s="9">
        <v>0</v>
      </c>
      <c r="K123" s="9">
        <v>1</v>
      </c>
      <c r="L123" s="9">
        <v>1</v>
      </c>
      <c r="M123" s="9">
        <v>1</v>
      </c>
      <c r="N123" s="9">
        <v>1</v>
      </c>
      <c r="O123" s="9">
        <v>0</v>
      </c>
      <c r="P123" s="9">
        <v>1</v>
      </c>
      <c r="Q123" s="9">
        <v>0</v>
      </c>
      <c r="R123" s="9">
        <v>0</v>
      </c>
      <c r="S123" s="9">
        <v>1</v>
      </c>
      <c r="T123" s="9">
        <v>0</v>
      </c>
      <c r="U123" s="9">
        <v>1</v>
      </c>
      <c r="V123" s="10">
        <f t="shared" si="0"/>
        <v>0.5</v>
      </c>
      <c r="X123" s="110"/>
      <c r="Y123" s="14">
        <v>2022</v>
      </c>
    </row>
    <row r="124" spans="2:25" ht="13.2" x14ac:dyDescent="0.25">
      <c r="B124" s="108" t="s">
        <v>185</v>
      </c>
      <c r="C124" s="23">
        <v>2018</v>
      </c>
      <c r="D124" s="9">
        <v>1</v>
      </c>
      <c r="E124" s="9">
        <v>1</v>
      </c>
      <c r="F124" s="9">
        <v>0</v>
      </c>
      <c r="G124" s="9">
        <v>0</v>
      </c>
      <c r="H124" s="9">
        <v>1</v>
      </c>
      <c r="I124" s="9">
        <v>1</v>
      </c>
      <c r="J124" s="9">
        <v>0</v>
      </c>
      <c r="K124" s="9">
        <v>1</v>
      </c>
      <c r="L124" s="9">
        <v>1</v>
      </c>
      <c r="M124" s="9">
        <v>0</v>
      </c>
      <c r="N124" s="9">
        <v>0</v>
      </c>
      <c r="O124" s="9">
        <v>0</v>
      </c>
      <c r="P124" s="9">
        <v>1</v>
      </c>
      <c r="Q124" s="9">
        <v>1</v>
      </c>
      <c r="R124" s="9">
        <v>1</v>
      </c>
      <c r="S124" s="9">
        <v>0</v>
      </c>
      <c r="T124" s="9">
        <v>0</v>
      </c>
      <c r="U124" s="9">
        <v>0</v>
      </c>
      <c r="V124" s="10">
        <f t="shared" si="0"/>
        <v>0.5</v>
      </c>
      <c r="X124" s="108" t="s">
        <v>185</v>
      </c>
      <c r="Y124" s="23">
        <v>2018</v>
      </c>
    </row>
    <row r="125" spans="2:25" ht="13.2" x14ac:dyDescent="0.25">
      <c r="B125" s="109"/>
      <c r="C125" s="9">
        <v>2019</v>
      </c>
      <c r="D125" s="9">
        <v>1</v>
      </c>
      <c r="E125" s="9">
        <v>1</v>
      </c>
      <c r="F125" s="9">
        <v>0</v>
      </c>
      <c r="G125" s="9">
        <v>0</v>
      </c>
      <c r="H125" s="9">
        <v>0</v>
      </c>
      <c r="I125" s="9">
        <v>0</v>
      </c>
      <c r="J125" s="9">
        <v>0</v>
      </c>
      <c r="K125" s="9">
        <v>1</v>
      </c>
      <c r="L125" s="9">
        <v>1</v>
      </c>
      <c r="M125" s="9">
        <v>1</v>
      </c>
      <c r="N125" s="9">
        <v>1</v>
      </c>
      <c r="O125" s="9">
        <v>1</v>
      </c>
      <c r="P125" s="9">
        <v>0</v>
      </c>
      <c r="Q125" s="9">
        <v>1</v>
      </c>
      <c r="R125" s="9">
        <v>1</v>
      </c>
      <c r="S125" s="9">
        <v>0</v>
      </c>
      <c r="T125" s="9">
        <v>0</v>
      </c>
      <c r="U125" s="9">
        <v>0</v>
      </c>
      <c r="V125" s="10">
        <f t="shared" si="0"/>
        <v>0.5</v>
      </c>
      <c r="X125" s="109"/>
      <c r="Y125" s="9">
        <v>2019</v>
      </c>
    </row>
    <row r="126" spans="2:25" ht="13.2" x14ac:dyDescent="0.25">
      <c r="B126" s="109"/>
      <c r="C126" s="9">
        <v>2020</v>
      </c>
      <c r="D126" s="9">
        <v>1</v>
      </c>
      <c r="E126" s="9">
        <v>1</v>
      </c>
      <c r="F126" s="9">
        <v>1</v>
      </c>
      <c r="G126" s="9">
        <v>0</v>
      </c>
      <c r="H126" s="9">
        <v>1</v>
      </c>
      <c r="I126" s="9">
        <v>0</v>
      </c>
      <c r="J126" s="9">
        <v>1</v>
      </c>
      <c r="K126" s="9">
        <v>1</v>
      </c>
      <c r="L126" s="9">
        <v>1</v>
      </c>
      <c r="M126" s="9">
        <v>1</v>
      </c>
      <c r="N126" s="9">
        <v>0</v>
      </c>
      <c r="O126" s="9">
        <v>1</v>
      </c>
      <c r="P126" s="9">
        <v>1</v>
      </c>
      <c r="Q126" s="9">
        <v>0</v>
      </c>
      <c r="R126" s="9">
        <v>1</v>
      </c>
      <c r="S126" s="9">
        <v>1</v>
      </c>
      <c r="T126" s="9">
        <v>1</v>
      </c>
      <c r="U126" s="9">
        <v>0</v>
      </c>
      <c r="V126" s="10">
        <f t="shared" si="0"/>
        <v>0.72222222222222221</v>
      </c>
      <c r="X126" s="109"/>
      <c r="Y126" s="9">
        <v>2020</v>
      </c>
    </row>
    <row r="127" spans="2:25" ht="13.2" x14ac:dyDescent="0.25">
      <c r="B127" s="109"/>
      <c r="C127" s="9">
        <v>2021</v>
      </c>
      <c r="D127" s="9">
        <v>1</v>
      </c>
      <c r="E127" s="9">
        <v>1</v>
      </c>
      <c r="F127" s="9">
        <v>1</v>
      </c>
      <c r="G127" s="9">
        <v>0</v>
      </c>
      <c r="H127" s="9">
        <v>1</v>
      </c>
      <c r="I127" s="9">
        <v>0</v>
      </c>
      <c r="J127" s="9">
        <v>0</v>
      </c>
      <c r="K127" s="9">
        <v>1</v>
      </c>
      <c r="L127" s="9">
        <v>1</v>
      </c>
      <c r="M127" s="9">
        <v>0</v>
      </c>
      <c r="N127" s="9">
        <v>1</v>
      </c>
      <c r="O127" s="9">
        <v>0</v>
      </c>
      <c r="P127" s="9">
        <v>1</v>
      </c>
      <c r="Q127" s="9">
        <v>1</v>
      </c>
      <c r="R127" s="9">
        <v>1</v>
      </c>
      <c r="S127" s="9">
        <v>1</v>
      </c>
      <c r="T127" s="9">
        <v>1</v>
      </c>
      <c r="U127" s="9">
        <v>1</v>
      </c>
      <c r="V127" s="10">
        <f t="shared" si="0"/>
        <v>0.72222222222222221</v>
      </c>
      <c r="X127" s="109"/>
      <c r="Y127" s="9">
        <v>2021</v>
      </c>
    </row>
    <row r="128" spans="2:25" ht="13.8" thickBot="1" x14ac:dyDescent="0.3">
      <c r="B128" s="110"/>
      <c r="C128" s="24">
        <v>2022</v>
      </c>
      <c r="D128" s="9">
        <v>1</v>
      </c>
      <c r="E128" s="9">
        <v>1</v>
      </c>
      <c r="F128" s="9">
        <v>1</v>
      </c>
      <c r="G128" s="9">
        <v>0</v>
      </c>
      <c r="H128" s="9">
        <v>1</v>
      </c>
      <c r="I128" s="9">
        <v>0</v>
      </c>
      <c r="J128" s="9">
        <v>1</v>
      </c>
      <c r="K128" s="9">
        <v>1</v>
      </c>
      <c r="L128" s="9">
        <v>1</v>
      </c>
      <c r="M128" s="9">
        <v>1</v>
      </c>
      <c r="N128" s="9">
        <v>1</v>
      </c>
      <c r="O128" s="9">
        <v>0</v>
      </c>
      <c r="P128" s="9">
        <v>1</v>
      </c>
      <c r="Q128" s="9">
        <v>1</v>
      </c>
      <c r="R128" s="9">
        <v>1</v>
      </c>
      <c r="S128" s="9">
        <v>1</v>
      </c>
      <c r="T128" s="9">
        <v>1</v>
      </c>
      <c r="U128" s="9">
        <v>1</v>
      </c>
      <c r="V128" s="10">
        <f t="shared" si="0"/>
        <v>0.83333333333333337</v>
      </c>
      <c r="X128" s="110"/>
      <c r="Y128" s="24">
        <v>2022</v>
      </c>
    </row>
    <row r="129" spans="2:25" ht="13.2" x14ac:dyDescent="0.25">
      <c r="B129" s="108" t="s">
        <v>186</v>
      </c>
      <c r="C129" s="23">
        <v>2018</v>
      </c>
      <c r="D129" s="9">
        <v>1</v>
      </c>
      <c r="E129" s="9">
        <v>1</v>
      </c>
      <c r="F129" s="9">
        <v>0</v>
      </c>
      <c r="G129" s="9">
        <v>0</v>
      </c>
      <c r="H129" s="9">
        <v>0</v>
      </c>
      <c r="I129" s="9">
        <v>0</v>
      </c>
      <c r="J129" s="9">
        <v>0</v>
      </c>
      <c r="K129" s="9">
        <v>1</v>
      </c>
      <c r="L129" s="9">
        <v>1</v>
      </c>
      <c r="M129" s="9">
        <v>0</v>
      </c>
      <c r="N129" s="9">
        <v>0</v>
      </c>
      <c r="O129" s="9">
        <v>1</v>
      </c>
      <c r="P129" s="9">
        <v>0</v>
      </c>
      <c r="Q129" s="9">
        <v>0</v>
      </c>
      <c r="R129" s="9">
        <v>1</v>
      </c>
      <c r="S129" s="9">
        <v>0</v>
      </c>
      <c r="T129" s="9">
        <v>0</v>
      </c>
      <c r="U129" s="9">
        <v>0</v>
      </c>
      <c r="V129" s="10">
        <f t="shared" si="0"/>
        <v>0.33333333333333331</v>
      </c>
      <c r="X129" s="108" t="s">
        <v>186</v>
      </c>
      <c r="Y129" s="23">
        <v>2018</v>
      </c>
    </row>
    <row r="130" spans="2:25" ht="13.2" x14ac:dyDescent="0.25">
      <c r="B130" s="109"/>
      <c r="C130" s="9">
        <v>2019</v>
      </c>
      <c r="D130" s="9">
        <v>1</v>
      </c>
      <c r="E130" s="9">
        <v>1</v>
      </c>
      <c r="F130" s="9">
        <v>1</v>
      </c>
      <c r="G130" s="9">
        <v>1</v>
      </c>
      <c r="H130" s="9">
        <v>0</v>
      </c>
      <c r="I130" s="9">
        <v>1</v>
      </c>
      <c r="J130" s="9">
        <v>1</v>
      </c>
      <c r="K130" s="9">
        <v>1</v>
      </c>
      <c r="L130" s="9">
        <v>1</v>
      </c>
      <c r="M130" s="9">
        <v>0</v>
      </c>
      <c r="N130" s="9">
        <v>0</v>
      </c>
      <c r="O130" s="9">
        <v>1</v>
      </c>
      <c r="P130" s="9">
        <v>0</v>
      </c>
      <c r="Q130" s="9">
        <v>0</v>
      </c>
      <c r="R130" s="9">
        <v>1</v>
      </c>
      <c r="S130" s="9">
        <v>0</v>
      </c>
      <c r="T130" s="9">
        <v>0</v>
      </c>
      <c r="U130" s="9">
        <v>0</v>
      </c>
      <c r="V130" s="10">
        <f t="shared" si="0"/>
        <v>0.55555555555555558</v>
      </c>
      <c r="X130" s="109"/>
      <c r="Y130" s="9">
        <v>2019</v>
      </c>
    </row>
    <row r="131" spans="2:25" ht="13.2" x14ac:dyDescent="0.25">
      <c r="B131" s="109"/>
      <c r="C131" s="9">
        <v>2020</v>
      </c>
      <c r="D131" s="9">
        <v>1</v>
      </c>
      <c r="E131" s="9">
        <v>1</v>
      </c>
      <c r="F131" s="9">
        <v>1</v>
      </c>
      <c r="G131" s="9">
        <v>1</v>
      </c>
      <c r="H131" s="9">
        <v>0</v>
      </c>
      <c r="I131" s="9">
        <v>1</v>
      </c>
      <c r="J131" s="9">
        <v>1</v>
      </c>
      <c r="K131" s="9">
        <v>1</v>
      </c>
      <c r="L131" s="9">
        <v>1</v>
      </c>
      <c r="M131" s="9">
        <v>1</v>
      </c>
      <c r="N131" s="9">
        <v>0</v>
      </c>
      <c r="O131" s="9">
        <v>1</v>
      </c>
      <c r="P131" s="9">
        <v>1</v>
      </c>
      <c r="Q131" s="9">
        <v>1</v>
      </c>
      <c r="R131" s="9">
        <v>1</v>
      </c>
      <c r="S131" s="9">
        <v>1</v>
      </c>
      <c r="T131" s="9">
        <v>0</v>
      </c>
      <c r="U131" s="9">
        <v>0</v>
      </c>
      <c r="V131" s="10">
        <f t="shared" si="0"/>
        <v>0.77777777777777779</v>
      </c>
      <c r="X131" s="109"/>
      <c r="Y131" s="9">
        <v>2020</v>
      </c>
    </row>
    <row r="132" spans="2:25" ht="13.2" x14ac:dyDescent="0.25">
      <c r="B132" s="109"/>
      <c r="C132" s="9">
        <v>2021</v>
      </c>
      <c r="D132" s="9">
        <v>1</v>
      </c>
      <c r="E132" s="9">
        <v>1</v>
      </c>
      <c r="F132" s="9">
        <v>1</v>
      </c>
      <c r="G132" s="9">
        <v>1</v>
      </c>
      <c r="H132" s="9">
        <v>1</v>
      </c>
      <c r="I132" s="9">
        <v>1</v>
      </c>
      <c r="J132" s="9">
        <v>1</v>
      </c>
      <c r="K132" s="9">
        <v>1</v>
      </c>
      <c r="L132" s="9">
        <v>1</v>
      </c>
      <c r="M132" s="9">
        <v>1</v>
      </c>
      <c r="N132" s="9">
        <v>0</v>
      </c>
      <c r="O132" s="9">
        <v>1</v>
      </c>
      <c r="P132" s="9">
        <v>1</v>
      </c>
      <c r="Q132" s="9">
        <v>1</v>
      </c>
      <c r="R132" s="9">
        <v>1</v>
      </c>
      <c r="S132" s="9">
        <v>1</v>
      </c>
      <c r="T132" s="9">
        <v>1</v>
      </c>
      <c r="U132" s="9">
        <v>0</v>
      </c>
      <c r="V132" s="10">
        <f t="shared" si="0"/>
        <v>0.88888888888888884</v>
      </c>
      <c r="X132" s="109"/>
      <c r="Y132" s="9">
        <v>2021</v>
      </c>
    </row>
    <row r="133" spans="2:25" ht="13.8" thickBot="1" x14ac:dyDescent="0.3">
      <c r="B133" s="110"/>
      <c r="C133" s="24">
        <v>2022</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10">
        <f t="shared" si="0"/>
        <v>1</v>
      </c>
      <c r="X133" s="110"/>
      <c r="Y133" s="24">
        <v>2022</v>
      </c>
    </row>
    <row r="134" spans="2:25" ht="13.2" x14ac:dyDescent="0.25">
      <c r="D134" s="2"/>
      <c r="E134" s="2"/>
      <c r="F134" s="2"/>
      <c r="G134" s="2"/>
      <c r="H134" s="2"/>
      <c r="I134" s="2"/>
      <c r="J134" s="2"/>
      <c r="K134" s="2"/>
      <c r="L134" s="2"/>
      <c r="M134" s="2"/>
      <c r="N134" s="2"/>
      <c r="O134" s="2"/>
      <c r="P134" s="2"/>
      <c r="Q134" s="2"/>
      <c r="R134" s="2"/>
      <c r="S134" s="2"/>
      <c r="T134" s="2"/>
      <c r="U134" s="2"/>
      <c r="V134" s="22"/>
    </row>
    <row r="135" spans="2:25" ht="13.2" x14ac:dyDescent="0.25">
      <c r="D135" s="2"/>
      <c r="E135" s="2"/>
      <c r="F135" s="2"/>
      <c r="G135" s="2"/>
      <c r="H135" s="2"/>
      <c r="I135" s="2"/>
      <c r="J135" s="2"/>
      <c r="K135" s="2"/>
      <c r="L135" s="2"/>
      <c r="M135" s="2"/>
      <c r="N135" s="2"/>
      <c r="O135" s="2"/>
      <c r="P135" s="2"/>
      <c r="Q135" s="2"/>
      <c r="R135" s="2"/>
      <c r="S135" s="2"/>
      <c r="T135" s="2"/>
      <c r="U135" s="2"/>
      <c r="V135" s="22"/>
    </row>
    <row r="136" spans="2:25" ht="13.2" x14ac:dyDescent="0.25">
      <c r="D136" s="2"/>
      <c r="E136" s="2"/>
      <c r="F136" s="2"/>
      <c r="G136" s="2"/>
      <c r="H136" s="2"/>
      <c r="I136" s="2"/>
      <c r="J136" s="2"/>
      <c r="K136" s="2"/>
      <c r="L136" s="2"/>
      <c r="M136" s="2"/>
      <c r="N136" s="2"/>
      <c r="O136" s="2"/>
      <c r="P136" s="2"/>
      <c r="Q136" s="2"/>
      <c r="R136" s="2"/>
      <c r="S136" s="2"/>
      <c r="T136" s="2"/>
      <c r="U136" s="2"/>
      <c r="V136" s="22"/>
    </row>
    <row r="137" spans="2:25" ht="13.2" x14ac:dyDescent="0.25">
      <c r="D137" s="2"/>
      <c r="E137" s="2"/>
      <c r="F137" s="2"/>
      <c r="G137" s="2"/>
      <c r="H137" s="2"/>
      <c r="I137" s="2"/>
      <c r="J137" s="2"/>
      <c r="K137" s="2"/>
      <c r="L137" s="2"/>
      <c r="M137" s="2"/>
      <c r="N137" s="2"/>
      <c r="O137" s="2"/>
      <c r="P137" s="2"/>
      <c r="Q137" s="2"/>
      <c r="R137" s="2"/>
      <c r="S137" s="2"/>
      <c r="T137" s="2"/>
      <c r="U137" s="2"/>
      <c r="V137" s="22"/>
    </row>
    <row r="138" spans="2:25" ht="13.2" x14ac:dyDescent="0.25">
      <c r="D138" s="2"/>
      <c r="E138" s="2"/>
      <c r="F138" s="2"/>
      <c r="G138" s="2"/>
      <c r="H138" s="2"/>
      <c r="I138" s="2"/>
      <c r="J138" s="2"/>
      <c r="K138" s="2"/>
      <c r="L138" s="2"/>
      <c r="M138" s="2"/>
      <c r="N138" s="2"/>
      <c r="O138" s="2"/>
      <c r="P138" s="2"/>
      <c r="Q138" s="2"/>
      <c r="R138" s="2"/>
      <c r="S138" s="2"/>
      <c r="T138" s="2"/>
      <c r="U138" s="2"/>
      <c r="V138" s="22"/>
    </row>
    <row r="139" spans="2:25" ht="13.2" x14ac:dyDescent="0.25">
      <c r="D139" s="2"/>
      <c r="E139" s="2"/>
      <c r="F139" s="2"/>
      <c r="G139" s="2"/>
      <c r="H139" s="2"/>
      <c r="I139" s="2"/>
      <c r="J139" s="2"/>
      <c r="K139" s="2"/>
      <c r="L139" s="2"/>
      <c r="M139" s="2"/>
      <c r="N139" s="2"/>
      <c r="O139" s="2"/>
      <c r="P139" s="2"/>
      <c r="Q139" s="2"/>
      <c r="R139" s="2"/>
      <c r="S139" s="2"/>
      <c r="T139" s="2"/>
      <c r="U139" s="2"/>
      <c r="V139" s="22"/>
    </row>
    <row r="140" spans="2:25" ht="13.2" x14ac:dyDescent="0.25">
      <c r="D140" s="2"/>
      <c r="E140" s="2"/>
      <c r="F140" s="2"/>
      <c r="G140" s="2"/>
      <c r="H140" s="2"/>
      <c r="I140" s="2"/>
      <c r="J140" s="2"/>
      <c r="K140" s="2"/>
      <c r="L140" s="2"/>
      <c r="M140" s="2"/>
      <c r="N140" s="2"/>
      <c r="O140" s="2"/>
      <c r="P140" s="2"/>
      <c r="Q140" s="2"/>
      <c r="R140" s="2"/>
      <c r="S140" s="2"/>
      <c r="T140" s="2"/>
      <c r="U140" s="2"/>
      <c r="V140" s="22"/>
    </row>
    <row r="141" spans="2:25" ht="13.2" x14ac:dyDescent="0.25">
      <c r="D141" s="2"/>
      <c r="E141" s="2"/>
      <c r="F141" s="2"/>
      <c r="G141" s="2"/>
      <c r="H141" s="2"/>
      <c r="I141" s="2"/>
      <c r="J141" s="2"/>
      <c r="K141" s="2"/>
      <c r="L141" s="2"/>
      <c r="M141" s="2"/>
      <c r="N141" s="2"/>
      <c r="O141" s="2"/>
      <c r="P141" s="2"/>
      <c r="Q141" s="2"/>
      <c r="R141" s="2"/>
      <c r="S141" s="2"/>
      <c r="T141" s="2"/>
      <c r="U141" s="2"/>
      <c r="V141" s="22"/>
    </row>
    <row r="142" spans="2:25" ht="13.2" x14ac:dyDescent="0.25">
      <c r="D142" s="2"/>
      <c r="E142" s="2"/>
      <c r="F142" s="2"/>
      <c r="G142" s="2"/>
      <c r="H142" s="2"/>
      <c r="I142" s="2"/>
      <c r="J142" s="2"/>
      <c r="K142" s="2"/>
      <c r="L142" s="2"/>
      <c r="M142" s="2"/>
      <c r="N142" s="2"/>
      <c r="O142" s="2"/>
      <c r="P142" s="2"/>
      <c r="Q142" s="2"/>
      <c r="R142" s="2"/>
      <c r="S142" s="2"/>
      <c r="T142" s="2"/>
      <c r="U142" s="2"/>
      <c r="V142" s="22"/>
    </row>
    <row r="143" spans="2:25" ht="13.2" x14ac:dyDescent="0.25">
      <c r="D143" s="2"/>
      <c r="E143" s="2"/>
      <c r="F143" s="2"/>
      <c r="G143" s="2"/>
      <c r="H143" s="2"/>
      <c r="I143" s="2"/>
      <c r="J143" s="2"/>
      <c r="K143" s="2"/>
      <c r="L143" s="2"/>
      <c r="M143" s="2"/>
      <c r="N143" s="2"/>
      <c r="O143" s="2"/>
      <c r="P143" s="2"/>
      <c r="Q143" s="2"/>
      <c r="R143" s="2"/>
      <c r="S143" s="2"/>
      <c r="T143" s="2"/>
      <c r="U143" s="2"/>
      <c r="V143" s="22"/>
    </row>
    <row r="144" spans="2:25" ht="13.2" x14ac:dyDescent="0.25">
      <c r="D144" s="2"/>
      <c r="E144" s="2"/>
      <c r="F144" s="2"/>
      <c r="G144" s="2"/>
      <c r="H144" s="2"/>
      <c r="I144" s="2"/>
      <c r="J144" s="2"/>
      <c r="K144" s="2"/>
      <c r="L144" s="2"/>
      <c r="M144" s="2"/>
      <c r="N144" s="2"/>
      <c r="O144" s="2"/>
      <c r="P144" s="2"/>
      <c r="Q144" s="2"/>
      <c r="R144" s="2"/>
      <c r="S144" s="2"/>
      <c r="T144" s="2"/>
      <c r="U144" s="2"/>
      <c r="V144" s="22"/>
    </row>
    <row r="145" spans="4:22" ht="13.2" x14ac:dyDescent="0.25">
      <c r="D145" s="2"/>
      <c r="E145" s="2"/>
      <c r="F145" s="2"/>
      <c r="G145" s="2"/>
      <c r="H145" s="2"/>
      <c r="I145" s="2"/>
      <c r="J145" s="2"/>
      <c r="K145" s="2"/>
      <c r="L145" s="2"/>
      <c r="M145" s="2"/>
      <c r="N145" s="2"/>
      <c r="O145" s="2"/>
      <c r="P145" s="2"/>
      <c r="Q145" s="2"/>
      <c r="R145" s="2"/>
      <c r="S145" s="2"/>
      <c r="T145" s="2"/>
      <c r="U145" s="2"/>
      <c r="V145" s="22"/>
    </row>
    <row r="146" spans="4:22" ht="13.2" x14ac:dyDescent="0.25">
      <c r="D146" s="2"/>
      <c r="E146" s="2"/>
      <c r="F146" s="2"/>
      <c r="G146" s="2"/>
      <c r="H146" s="2"/>
      <c r="I146" s="2"/>
      <c r="J146" s="2"/>
      <c r="K146" s="2"/>
      <c r="L146" s="2"/>
      <c r="M146" s="2"/>
      <c r="N146" s="2"/>
      <c r="O146" s="2"/>
      <c r="P146" s="2"/>
      <c r="Q146" s="2"/>
      <c r="R146" s="2"/>
      <c r="S146" s="2"/>
      <c r="T146" s="2"/>
      <c r="U146" s="2"/>
      <c r="V146" s="22"/>
    </row>
    <row r="147" spans="4:22" ht="13.2" x14ac:dyDescent="0.25">
      <c r="D147" s="2"/>
      <c r="E147" s="2"/>
      <c r="F147" s="2"/>
      <c r="G147" s="2"/>
      <c r="H147" s="2"/>
      <c r="I147" s="2"/>
      <c r="J147" s="2"/>
      <c r="K147" s="2"/>
      <c r="L147" s="2"/>
      <c r="M147" s="2"/>
      <c r="N147" s="2"/>
      <c r="O147" s="2"/>
      <c r="P147" s="2"/>
      <c r="Q147" s="2"/>
      <c r="R147" s="2"/>
      <c r="S147" s="2"/>
      <c r="T147" s="2"/>
      <c r="U147" s="2"/>
      <c r="V147" s="22"/>
    </row>
    <row r="148" spans="4:22" ht="13.2" x14ac:dyDescent="0.25">
      <c r="D148" s="2"/>
      <c r="E148" s="2"/>
      <c r="F148" s="2"/>
      <c r="G148" s="2"/>
      <c r="H148" s="2"/>
      <c r="I148" s="2"/>
      <c r="J148" s="2"/>
      <c r="K148" s="2"/>
      <c r="L148" s="2"/>
      <c r="M148" s="2"/>
      <c r="N148" s="2"/>
      <c r="O148" s="2"/>
      <c r="P148" s="2"/>
      <c r="Q148" s="2"/>
      <c r="R148" s="2"/>
      <c r="S148" s="2"/>
      <c r="T148" s="2"/>
      <c r="U148" s="2"/>
      <c r="V148" s="22"/>
    </row>
    <row r="149" spans="4:22" ht="13.2" x14ac:dyDescent="0.25">
      <c r="D149" s="2"/>
      <c r="E149" s="2"/>
      <c r="F149" s="2"/>
      <c r="G149" s="2"/>
      <c r="H149" s="2"/>
      <c r="I149" s="2"/>
      <c r="J149" s="2"/>
      <c r="K149" s="2"/>
      <c r="L149" s="2"/>
      <c r="M149" s="2"/>
      <c r="N149" s="2"/>
      <c r="O149" s="2"/>
      <c r="P149" s="2"/>
      <c r="Q149" s="2"/>
      <c r="R149" s="2"/>
      <c r="S149" s="2"/>
      <c r="T149" s="2"/>
      <c r="U149" s="2"/>
      <c r="V149" s="22"/>
    </row>
    <row r="150" spans="4:22" ht="13.2" x14ac:dyDescent="0.25">
      <c r="D150" s="2"/>
      <c r="E150" s="2"/>
      <c r="F150" s="2"/>
      <c r="G150" s="2"/>
      <c r="H150" s="2"/>
      <c r="I150" s="2"/>
      <c r="J150" s="2"/>
      <c r="K150" s="2"/>
      <c r="L150" s="2"/>
      <c r="M150" s="2"/>
      <c r="N150" s="2"/>
      <c r="O150" s="2"/>
      <c r="P150" s="2"/>
      <c r="Q150" s="2"/>
      <c r="R150" s="2"/>
      <c r="S150" s="2"/>
      <c r="T150" s="2"/>
      <c r="U150" s="2"/>
      <c r="V150" s="22"/>
    </row>
    <row r="151" spans="4:22" ht="13.2" x14ac:dyDescent="0.25">
      <c r="D151" s="2"/>
      <c r="E151" s="2"/>
      <c r="F151" s="2"/>
      <c r="G151" s="2"/>
      <c r="H151" s="2"/>
      <c r="I151" s="2"/>
      <c r="J151" s="2"/>
      <c r="K151" s="2"/>
      <c r="L151" s="2"/>
      <c r="M151" s="2"/>
      <c r="N151" s="2"/>
      <c r="O151" s="2"/>
      <c r="P151" s="2"/>
      <c r="Q151" s="2"/>
      <c r="R151" s="2"/>
      <c r="S151" s="2"/>
      <c r="T151" s="2"/>
      <c r="U151" s="2"/>
      <c r="V151" s="22"/>
    </row>
    <row r="152" spans="4:22" ht="13.2" x14ac:dyDescent="0.25">
      <c r="D152" s="2"/>
      <c r="E152" s="2"/>
      <c r="F152" s="2"/>
      <c r="G152" s="2"/>
      <c r="H152" s="2"/>
      <c r="I152" s="2"/>
      <c r="J152" s="2"/>
      <c r="K152" s="2"/>
      <c r="L152" s="2"/>
      <c r="M152" s="2"/>
      <c r="N152" s="2"/>
      <c r="O152" s="2"/>
      <c r="P152" s="2"/>
      <c r="Q152" s="2"/>
      <c r="R152" s="2"/>
      <c r="S152" s="2"/>
      <c r="T152" s="2"/>
      <c r="U152" s="2"/>
      <c r="V152" s="22"/>
    </row>
    <row r="153" spans="4:22" ht="13.2" x14ac:dyDescent="0.25">
      <c r="D153" s="2"/>
      <c r="E153" s="2"/>
      <c r="F153" s="2"/>
      <c r="G153" s="2"/>
      <c r="H153" s="2"/>
      <c r="I153" s="2"/>
      <c r="J153" s="2"/>
      <c r="K153" s="2"/>
      <c r="L153" s="2"/>
      <c r="M153" s="2"/>
      <c r="N153" s="2"/>
      <c r="O153" s="2"/>
      <c r="P153" s="2"/>
      <c r="Q153" s="2"/>
      <c r="R153" s="2"/>
      <c r="S153" s="2"/>
      <c r="T153" s="2"/>
      <c r="U153" s="2"/>
      <c r="V153" s="22"/>
    </row>
    <row r="154" spans="4:22" ht="13.2" x14ac:dyDescent="0.25">
      <c r="D154" s="2"/>
      <c r="E154" s="2"/>
      <c r="F154" s="2"/>
      <c r="G154" s="2"/>
      <c r="H154" s="2"/>
      <c r="I154" s="2"/>
      <c r="J154" s="2"/>
      <c r="K154" s="2"/>
      <c r="L154" s="2"/>
      <c r="M154" s="2"/>
      <c r="N154" s="2"/>
      <c r="O154" s="2"/>
      <c r="P154" s="2"/>
      <c r="Q154" s="2"/>
      <c r="R154" s="2"/>
      <c r="S154" s="2"/>
      <c r="T154" s="2"/>
      <c r="U154" s="2"/>
      <c r="V154" s="22"/>
    </row>
    <row r="155" spans="4:22" ht="13.2" x14ac:dyDescent="0.25">
      <c r="D155" s="2"/>
      <c r="E155" s="2"/>
      <c r="F155" s="2"/>
      <c r="G155" s="2"/>
      <c r="H155" s="2"/>
      <c r="I155" s="2"/>
      <c r="J155" s="2"/>
      <c r="K155" s="2"/>
      <c r="L155" s="2"/>
      <c r="M155" s="2"/>
      <c r="N155" s="2"/>
      <c r="O155" s="2"/>
      <c r="P155" s="2"/>
      <c r="Q155" s="2"/>
      <c r="R155" s="2"/>
      <c r="S155" s="2"/>
      <c r="T155" s="2"/>
      <c r="U155" s="2"/>
      <c r="V155" s="22"/>
    </row>
    <row r="156" spans="4:22" ht="13.2" x14ac:dyDescent="0.25">
      <c r="D156" s="2"/>
      <c r="E156" s="2"/>
      <c r="F156" s="2"/>
      <c r="G156" s="2"/>
      <c r="H156" s="2"/>
      <c r="I156" s="2"/>
      <c r="J156" s="2"/>
      <c r="K156" s="2"/>
      <c r="L156" s="2"/>
      <c r="M156" s="2"/>
      <c r="N156" s="2"/>
      <c r="O156" s="2"/>
      <c r="P156" s="2"/>
      <c r="Q156" s="2"/>
      <c r="R156" s="2"/>
      <c r="S156" s="2"/>
      <c r="T156" s="2"/>
      <c r="U156" s="2"/>
      <c r="V156" s="22"/>
    </row>
    <row r="157" spans="4:22" ht="13.2" x14ac:dyDescent="0.25">
      <c r="D157" s="2"/>
      <c r="E157" s="2"/>
      <c r="F157" s="2"/>
      <c r="G157" s="2"/>
      <c r="H157" s="2"/>
      <c r="I157" s="2"/>
      <c r="J157" s="2"/>
      <c r="K157" s="2"/>
      <c r="L157" s="2"/>
      <c r="M157" s="2"/>
      <c r="N157" s="2"/>
      <c r="O157" s="2"/>
      <c r="P157" s="2"/>
      <c r="Q157" s="2"/>
      <c r="R157" s="2"/>
      <c r="S157" s="2"/>
      <c r="T157" s="2"/>
      <c r="U157" s="2"/>
      <c r="V157" s="22"/>
    </row>
    <row r="158" spans="4:22" ht="13.2" x14ac:dyDescent="0.25">
      <c r="D158" s="2"/>
      <c r="E158" s="2"/>
      <c r="F158" s="2"/>
      <c r="G158" s="2"/>
      <c r="H158" s="2"/>
      <c r="I158" s="2"/>
      <c r="J158" s="2"/>
      <c r="K158" s="2"/>
      <c r="L158" s="2"/>
      <c r="M158" s="2"/>
      <c r="N158" s="2"/>
      <c r="O158" s="2"/>
      <c r="P158" s="2"/>
      <c r="Q158" s="2"/>
      <c r="R158" s="2"/>
      <c r="S158" s="2"/>
      <c r="T158" s="2"/>
      <c r="U158" s="2"/>
      <c r="V158" s="22"/>
    </row>
    <row r="159" spans="4:22" ht="13.2" x14ac:dyDescent="0.25">
      <c r="D159" s="2"/>
      <c r="E159" s="2"/>
      <c r="F159" s="2"/>
      <c r="G159" s="2"/>
      <c r="H159" s="2"/>
      <c r="I159" s="2"/>
      <c r="J159" s="2"/>
      <c r="K159" s="2"/>
      <c r="L159" s="2"/>
      <c r="M159" s="2"/>
      <c r="N159" s="2"/>
      <c r="O159" s="2"/>
      <c r="P159" s="2"/>
      <c r="Q159" s="2"/>
      <c r="R159" s="2"/>
      <c r="S159" s="2"/>
      <c r="T159" s="2"/>
      <c r="U159" s="2"/>
      <c r="V159" s="22"/>
    </row>
    <row r="160" spans="4:22" ht="13.2" x14ac:dyDescent="0.25">
      <c r="D160" s="2"/>
      <c r="E160" s="2"/>
      <c r="F160" s="2"/>
      <c r="G160" s="2"/>
      <c r="H160" s="2"/>
      <c r="I160" s="2"/>
      <c r="J160" s="2"/>
      <c r="K160" s="2"/>
      <c r="L160" s="2"/>
      <c r="M160" s="2"/>
      <c r="N160" s="2"/>
      <c r="O160" s="2"/>
      <c r="P160" s="2"/>
      <c r="Q160" s="2"/>
      <c r="R160" s="2"/>
      <c r="S160" s="2"/>
      <c r="T160" s="2"/>
      <c r="U160" s="2"/>
      <c r="V160" s="22"/>
    </row>
    <row r="161" spans="4:22" ht="13.2" x14ac:dyDescent="0.25">
      <c r="D161" s="2"/>
      <c r="E161" s="2"/>
      <c r="F161" s="2"/>
      <c r="G161" s="2"/>
      <c r="H161" s="2"/>
      <c r="I161" s="2"/>
      <c r="J161" s="2"/>
      <c r="K161" s="2"/>
      <c r="L161" s="2"/>
      <c r="M161" s="2"/>
      <c r="N161" s="2"/>
      <c r="O161" s="2"/>
      <c r="P161" s="2"/>
      <c r="Q161" s="2"/>
      <c r="R161" s="2"/>
      <c r="S161" s="2"/>
      <c r="T161" s="2"/>
      <c r="U161" s="2"/>
      <c r="V161" s="22"/>
    </row>
    <row r="162" spans="4:22" ht="13.2" x14ac:dyDescent="0.25">
      <c r="D162" s="2"/>
      <c r="E162" s="2"/>
      <c r="F162" s="2"/>
      <c r="G162" s="2"/>
      <c r="H162" s="2"/>
      <c r="I162" s="2"/>
      <c r="J162" s="2"/>
      <c r="K162" s="2"/>
      <c r="L162" s="2"/>
      <c r="M162" s="2"/>
      <c r="N162" s="2"/>
      <c r="O162" s="2"/>
      <c r="P162" s="2"/>
      <c r="Q162" s="2"/>
      <c r="R162" s="2"/>
      <c r="S162" s="2"/>
      <c r="T162" s="2"/>
      <c r="U162" s="2"/>
      <c r="V162" s="22"/>
    </row>
    <row r="163" spans="4:22" ht="13.2" x14ac:dyDescent="0.25">
      <c r="D163" s="2"/>
      <c r="E163" s="2"/>
      <c r="F163" s="2"/>
      <c r="G163" s="2"/>
      <c r="H163" s="2"/>
      <c r="I163" s="2"/>
      <c r="J163" s="2"/>
      <c r="K163" s="2"/>
      <c r="L163" s="2"/>
      <c r="M163" s="2"/>
      <c r="N163" s="2"/>
      <c r="O163" s="2"/>
      <c r="P163" s="2"/>
      <c r="Q163" s="2"/>
      <c r="R163" s="2"/>
      <c r="S163" s="2"/>
      <c r="T163" s="2"/>
      <c r="U163" s="2"/>
      <c r="V163" s="22"/>
    </row>
    <row r="164" spans="4:22" ht="13.2" x14ac:dyDescent="0.25">
      <c r="D164" s="2"/>
      <c r="E164" s="2"/>
      <c r="F164" s="2"/>
      <c r="G164" s="2"/>
      <c r="H164" s="2"/>
      <c r="I164" s="2"/>
      <c r="J164" s="2"/>
      <c r="K164" s="2"/>
      <c r="L164" s="2"/>
      <c r="M164" s="2"/>
      <c r="N164" s="2"/>
      <c r="O164" s="2"/>
      <c r="P164" s="2"/>
      <c r="Q164" s="2"/>
      <c r="R164" s="2"/>
      <c r="S164" s="2"/>
      <c r="T164" s="2"/>
      <c r="U164" s="2"/>
      <c r="V164" s="22"/>
    </row>
    <row r="165" spans="4:22" ht="13.2" x14ac:dyDescent="0.25">
      <c r="D165" s="2"/>
      <c r="E165" s="2"/>
      <c r="F165" s="2"/>
      <c r="G165" s="2"/>
      <c r="H165" s="2"/>
      <c r="I165" s="2"/>
      <c r="J165" s="2"/>
      <c r="K165" s="2"/>
      <c r="L165" s="2"/>
      <c r="M165" s="2"/>
      <c r="N165" s="2"/>
      <c r="O165" s="2"/>
      <c r="P165" s="2"/>
      <c r="Q165" s="2"/>
      <c r="R165" s="2"/>
      <c r="S165" s="2"/>
      <c r="T165" s="2"/>
      <c r="U165" s="2"/>
      <c r="V165" s="22"/>
    </row>
    <row r="166" spans="4:22" ht="13.2" x14ac:dyDescent="0.25">
      <c r="D166" s="2"/>
      <c r="E166" s="2"/>
      <c r="F166" s="2"/>
      <c r="G166" s="2"/>
      <c r="H166" s="2"/>
      <c r="I166" s="2"/>
      <c r="J166" s="2"/>
      <c r="K166" s="2"/>
      <c r="L166" s="2"/>
      <c r="M166" s="2"/>
      <c r="N166" s="2"/>
      <c r="O166" s="2"/>
      <c r="P166" s="2"/>
      <c r="Q166" s="2"/>
      <c r="R166" s="2"/>
      <c r="S166" s="2"/>
      <c r="T166" s="2"/>
      <c r="U166" s="2"/>
      <c r="V166" s="22"/>
    </row>
    <row r="167" spans="4:22" ht="13.2" x14ac:dyDescent="0.25">
      <c r="D167" s="2"/>
      <c r="E167" s="2"/>
      <c r="F167" s="2"/>
      <c r="G167" s="2"/>
      <c r="H167" s="2"/>
      <c r="I167" s="2"/>
      <c r="J167" s="2"/>
      <c r="K167" s="2"/>
      <c r="L167" s="2"/>
      <c r="M167" s="2"/>
      <c r="N167" s="2"/>
      <c r="O167" s="2"/>
      <c r="P167" s="2"/>
      <c r="Q167" s="2"/>
      <c r="R167" s="2"/>
      <c r="S167" s="2"/>
      <c r="T167" s="2"/>
      <c r="U167" s="2"/>
      <c r="V167" s="22"/>
    </row>
    <row r="168" spans="4:22" ht="13.2" x14ac:dyDescent="0.25">
      <c r="D168" s="2"/>
      <c r="E168" s="2"/>
      <c r="F168" s="2"/>
      <c r="G168" s="2"/>
      <c r="H168" s="2"/>
      <c r="I168" s="2"/>
      <c r="J168" s="2"/>
      <c r="K168" s="2"/>
      <c r="L168" s="2"/>
      <c r="M168" s="2"/>
      <c r="N168" s="2"/>
      <c r="O168" s="2"/>
      <c r="P168" s="2"/>
      <c r="Q168" s="2"/>
      <c r="R168" s="2"/>
      <c r="S168" s="2"/>
      <c r="T168" s="2"/>
      <c r="U168" s="2"/>
      <c r="V168" s="22"/>
    </row>
    <row r="169" spans="4:22" ht="13.2" x14ac:dyDescent="0.25">
      <c r="D169" s="2"/>
      <c r="E169" s="2"/>
      <c r="F169" s="2"/>
      <c r="G169" s="2"/>
      <c r="H169" s="2"/>
      <c r="I169" s="2"/>
      <c r="J169" s="2"/>
      <c r="K169" s="2"/>
      <c r="L169" s="2"/>
      <c r="M169" s="2"/>
      <c r="N169" s="2"/>
      <c r="O169" s="2"/>
      <c r="P169" s="2"/>
      <c r="Q169" s="2"/>
      <c r="R169" s="2"/>
      <c r="S169" s="2"/>
      <c r="T169" s="2"/>
      <c r="U169" s="2"/>
      <c r="V169" s="22"/>
    </row>
    <row r="170" spans="4:22" ht="13.2" x14ac:dyDescent="0.25">
      <c r="D170" s="2"/>
      <c r="E170" s="2"/>
      <c r="F170" s="2"/>
      <c r="G170" s="2"/>
      <c r="H170" s="2"/>
      <c r="I170" s="2"/>
      <c r="J170" s="2"/>
      <c r="K170" s="2"/>
      <c r="L170" s="2"/>
      <c r="M170" s="2"/>
      <c r="N170" s="2"/>
      <c r="O170" s="2"/>
      <c r="P170" s="2"/>
      <c r="Q170" s="2"/>
      <c r="R170" s="2"/>
      <c r="S170" s="2"/>
      <c r="T170" s="2"/>
      <c r="U170" s="2"/>
      <c r="V170" s="22"/>
    </row>
    <row r="171" spans="4:22" ht="13.2" x14ac:dyDescent="0.25">
      <c r="D171" s="2"/>
      <c r="E171" s="2"/>
      <c r="F171" s="2"/>
      <c r="G171" s="2"/>
      <c r="H171" s="2"/>
      <c r="I171" s="2"/>
      <c r="J171" s="2"/>
      <c r="K171" s="2"/>
      <c r="L171" s="2"/>
      <c r="M171" s="2"/>
      <c r="N171" s="2"/>
      <c r="O171" s="2"/>
      <c r="P171" s="2"/>
      <c r="Q171" s="2"/>
      <c r="R171" s="2"/>
      <c r="S171" s="2"/>
      <c r="T171" s="2"/>
      <c r="U171" s="2"/>
      <c r="V171" s="22"/>
    </row>
    <row r="172" spans="4:22" ht="13.2" x14ac:dyDescent="0.25">
      <c r="D172" s="2"/>
      <c r="E172" s="2"/>
      <c r="F172" s="2"/>
      <c r="G172" s="2"/>
      <c r="H172" s="2"/>
      <c r="I172" s="2"/>
      <c r="J172" s="2"/>
      <c r="K172" s="2"/>
      <c r="L172" s="2"/>
      <c r="M172" s="2"/>
      <c r="N172" s="2"/>
      <c r="O172" s="2"/>
      <c r="P172" s="2"/>
      <c r="Q172" s="2"/>
      <c r="R172" s="2"/>
      <c r="S172" s="2"/>
      <c r="T172" s="2"/>
      <c r="U172" s="2"/>
      <c r="V172" s="22"/>
    </row>
    <row r="173" spans="4:22" ht="13.2" x14ac:dyDescent="0.25">
      <c r="D173" s="2"/>
      <c r="E173" s="2"/>
      <c r="F173" s="2"/>
      <c r="G173" s="2"/>
      <c r="H173" s="2"/>
      <c r="I173" s="2"/>
      <c r="J173" s="2"/>
      <c r="K173" s="2"/>
      <c r="L173" s="2"/>
      <c r="M173" s="2"/>
      <c r="N173" s="2"/>
      <c r="O173" s="2"/>
      <c r="P173" s="2"/>
      <c r="Q173" s="2"/>
      <c r="R173" s="2"/>
      <c r="S173" s="2"/>
      <c r="T173" s="2"/>
      <c r="U173" s="2"/>
      <c r="V173" s="22"/>
    </row>
    <row r="174" spans="4:22" ht="13.2" x14ac:dyDescent="0.25">
      <c r="D174" s="2"/>
      <c r="E174" s="2"/>
      <c r="F174" s="2"/>
      <c r="G174" s="2"/>
      <c r="H174" s="2"/>
      <c r="I174" s="2"/>
      <c r="J174" s="2"/>
      <c r="K174" s="2"/>
      <c r="L174" s="2"/>
      <c r="M174" s="2"/>
      <c r="N174" s="2"/>
      <c r="O174" s="2"/>
      <c r="P174" s="2"/>
      <c r="Q174" s="2"/>
      <c r="R174" s="2"/>
      <c r="S174" s="2"/>
      <c r="T174" s="2"/>
      <c r="U174" s="2"/>
      <c r="V174" s="22"/>
    </row>
    <row r="175" spans="4:22" ht="13.2" x14ac:dyDescent="0.25">
      <c r="D175" s="2"/>
      <c r="E175" s="2"/>
      <c r="F175" s="2"/>
      <c r="G175" s="2"/>
      <c r="H175" s="2"/>
      <c r="I175" s="2"/>
      <c r="J175" s="2"/>
      <c r="K175" s="2"/>
      <c r="L175" s="2"/>
      <c r="M175" s="2"/>
      <c r="N175" s="2"/>
      <c r="O175" s="2"/>
      <c r="P175" s="2"/>
      <c r="Q175" s="2"/>
      <c r="R175" s="2"/>
      <c r="S175" s="2"/>
      <c r="T175" s="2"/>
      <c r="U175" s="2"/>
      <c r="V175" s="22"/>
    </row>
    <row r="176" spans="4:22" ht="13.2" x14ac:dyDescent="0.25">
      <c r="D176" s="2"/>
      <c r="E176" s="2"/>
      <c r="F176" s="2"/>
      <c r="G176" s="2"/>
      <c r="H176" s="2"/>
      <c r="I176" s="2"/>
      <c r="J176" s="2"/>
      <c r="K176" s="2"/>
      <c r="L176" s="2"/>
      <c r="M176" s="2"/>
      <c r="N176" s="2"/>
      <c r="O176" s="2"/>
      <c r="P176" s="2"/>
      <c r="Q176" s="2"/>
      <c r="R176" s="2"/>
      <c r="S176" s="2"/>
      <c r="T176" s="2"/>
      <c r="U176" s="2"/>
      <c r="V176" s="22"/>
    </row>
    <row r="177" spans="4:22" ht="13.2" x14ac:dyDescent="0.25">
      <c r="D177" s="2"/>
      <c r="E177" s="2"/>
      <c r="F177" s="2"/>
      <c r="G177" s="2"/>
      <c r="H177" s="2"/>
      <c r="I177" s="2"/>
      <c r="J177" s="2"/>
      <c r="K177" s="2"/>
      <c r="L177" s="2"/>
      <c r="M177" s="2"/>
      <c r="N177" s="2"/>
      <c r="O177" s="2"/>
      <c r="P177" s="2"/>
      <c r="Q177" s="2"/>
      <c r="R177" s="2"/>
      <c r="S177" s="2"/>
      <c r="T177" s="2"/>
      <c r="U177" s="2"/>
      <c r="V177" s="22"/>
    </row>
    <row r="178" spans="4:22" ht="13.2" x14ac:dyDescent="0.25">
      <c r="D178" s="2"/>
      <c r="E178" s="2"/>
      <c r="F178" s="2"/>
      <c r="G178" s="2"/>
      <c r="H178" s="2"/>
      <c r="I178" s="2"/>
      <c r="J178" s="2"/>
      <c r="K178" s="2"/>
      <c r="L178" s="2"/>
      <c r="M178" s="2"/>
      <c r="N178" s="2"/>
      <c r="O178" s="2"/>
      <c r="P178" s="2"/>
      <c r="Q178" s="2"/>
      <c r="R178" s="2"/>
      <c r="S178" s="2"/>
      <c r="T178" s="2"/>
      <c r="U178" s="2"/>
      <c r="V178" s="22"/>
    </row>
    <row r="179" spans="4:22" ht="13.2" x14ac:dyDescent="0.25">
      <c r="D179" s="2"/>
      <c r="E179" s="2"/>
      <c r="F179" s="2"/>
      <c r="G179" s="2"/>
      <c r="H179" s="2"/>
      <c r="I179" s="2"/>
      <c r="J179" s="2"/>
      <c r="K179" s="2"/>
      <c r="L179" s="2"/>
      <c r="M179" s="2"/>
      <c r="N179" s="2"/>
      <c r="O179" s="2"/>
      <c r="P179" s="2"/>
      <c r="Q179" s="2"/>
      <c r="R179" s="2"/>
      <c r="S179" s="2"/>
      <c r="T179" s="2"/>
      <c r="U179" s="2"/>
      <c r="V179" s="22"/>
    </row>
    <row r="180" spans="4:22" ht="13.2" x14ac:dyDescent="0.25">
      <c r="D180" s="2"/>
      <c r="E180" s="2"/>
      <c r="F180" s="2"/>
      <c r="G180" s="2"/>
      <c r="H180" s="2"/>
      <c r="I180" s="2"/>
      <c r="J180" s="2"/>
      <c r="K180" s="2"/>
      <c r="L180" s="2"/>
      <c r="M180" s="2"/>
      <c r="N180" s="2"/>
      <c r="O180" s="2"/>
      <c r="P180" s="2"/>
      <c r="Q180" s="2"/>
      <c r="R180" s="2"/>
      <c r="S180" s="2"/>
      <c r="T180" s="2"/>
      <c r="U180" s="2"/>
      <c r="V180" s="22"/>
    </row>
    <row r="181" spans="4:22" ht="13.2" x14ac:dyDescent="0.25">
      <c r="D181" s="2"/>
      <c r="E181" s="2"/>
      <c r="F181" s="2"/>
      <c r="G181" s="2"/>
      <c r="H181" s="2"/>
      <c r="I181" s="2"/>
      <c r="J181" s="2"/>
      <c r="K181" s="2"/>
      <c r="L181" s="2"/>
      <c r="M181" s="2"/>
      <c r="N181" s="2"/>
      <c r="O181" s="2"/>
      <c r="P181" s="2"/>
      <c r="Q181" s="2"/>
      <c r="R181" s="2"/>
      <c r="S181" s="2"/>
      <c r="T181" s="2"/>
      <c r="U181" s="2"/>
      <c r="V181" s="22"/>
    </row>
    <row r="182" spans="4:22" ht="13.2" x14ac:dyDescent="0.25">
      <c r="D182" s="2"/>
      <c r="E182" s="2"/>
      <c r="F182" s="2"/>
      <c r="G182" s="2"/>
      <c r="H182" s="2"/>
      <c r="I182" s="2"/>
      <c r="J182" s="2"/>
      <c r="K182" s="2"/>
      <c r="L182" s="2"/>
      <c r="M182" s="2"/>
      <c r="N182" s="2"/>
      <c r="O182" s="2"/>
      <c r="P182" s="2"/>
      <c r="Q182" s="2"/>
      <c r="R182" s="2"/>
      <c r="S182" s="2"/>
      <c r="T182" s="2"/>
      <c r="U182" s="2"/>
      <c r="V182" s="22"/>
    </row>
    <row r="183" spans="4:22" ht="13.2" x14ac:dyDescent="0.25">
      <c r="D183" s="2"/>
      <c r="E183" s="2"/>
      <c r="F183" s="2"/>
      <c r="G183" s="2"/>
      <c r="H183" s="2"/>
      <c r="I183" s="2"/>
      <c r="J183" s="2"/>
      <c r="K183" s="2"/>
      <c r="L183" s="2"/>
      <c r="M183" s="2"/>
      <c r="N183" s="2"/>
      <c r="O183" s="2"/>
      <c r="P183" s="2"/>
      <c r="Q183" s="2"/>
      <c r="R183" s="2"/>
      <c r="S183" s="2"/>
      <c r="T183" s="2"/>
      <c r="U183" s="2"/>
      <c r="V183" s="22"/>
    </row>
    <row r="184" spans="4:22" ht="13.2" x14ac:dyDescent="0.25">
      <c r="D184" s="2"/>
      <c r="E184" s="2"/>
      <c r="F184" s="2"/>
      <c r="G184" s="2"/>
      <c r="H184" s="2"/>
      <c r="I184" s="2"/>
      <c r="J184" s="2"/>
      <c r="K184" s="2"/>
      <c r="L184" s="2"/>
      <c r="M184" s="2"/>
      <c r="N184" s="2"/>
      <c r="O184" s="2"/>
      <c r="P184" s="2"/>
      <c r="Q184" s="2"/>
      <c r="R184" s="2"/>
      <c r="S184" s="2"/>
      <c r="T184" s="2"/>
      <c r="U184" s="2"/>
      <c r="V184" s="22"/>
    </row>
    <row r="185" spans="4:22" ht="13.2" x14ac:dyDescent="0.25">
      <c r="D185" s="2"/>
      <c r="E185" s="2"/>
      <c r="F185" s="2"/>
      <c r="G185" s="2"/>
      <c r="H185" s="2"/>
      <c r="I185" s="2"/>
      <c r="J185" s="2"/>
      <c r="K185" s="2"/>
      <c r="L185" s="2"/>
      <c r="M185" s="2"/>
      <c r="N185" s="2"/>
      <c r="O185" s="2"/>
      <c r="P185" s="2"/>
      <c r="Q185" s="2"/>
      <c r="R185" s="2"/>
      <c r="S185" s="2"/>
      <c r="T185" s="2"/>
      <c r="U185" s="2"/>
      <c r="V185" s="22"/>
    </row>
    <row r="186" spans="4:22" ht="13.2" x14ac:dyDescent="0.25">
      <c r="D186" s="2"/>
      <c r="E186" s="2"/>
      <c r="F186" s="2"/>
      <c r="G186" s="2"/>
      <c r="H186" s="2"/>
      <c r="I186" s="2"/>
      <c r="J186" s="2"/>
      <c r="K186" s="2"/>
      <c r="L186" s="2"/>
      <c r="M186" s="2"/>
      <c r="N186" s="2"/>
      <c r="O186" s="2"/>
      <c r="P186" s="2"/>
      <c r="Q186" s="2"/>
      <c r="R186" s="2"/>
      <c r="S186" s="2"/>
      <c r="T186" s="2"/>
      <c r="U186" s="2"/>
      <c r="V186" s="22"/>
    </row>
    <row r="187" spans="4:22" ht="13.2" x14ac:dyDescent="0.25">
      <c r="D187" s="2"/>
      <c r="E187" s="2"/>
      <c r="F187" s="2"/>
      <c r="G187" s="2"/>
      <c r="H187" s="2"/>
      <c r="I187" s="2"/>
      <c r="J187" s="2"/>
      <c r="K187" s="2"/>
      <c r="L187" s="2"/>
      <c r="M187" s="2"/>
      <c r="N187" s="2"/>
      <c r="O187" s="2"/>
      <c r="P187" s="2"/>
      <c r="Q187" s="2"/>
      <c r="R187" s="2"/>
      <c r="S187" s="2"/>
      <c r="T187" s="2"/>
      <c r="U187" s="2"/>
      <c r="V187" s="22"/>
    </row>
    <row r="188" spans="4:22" ht="13.2" x14ac:dyDescent="0.25">
      <c r="D188" s="2"/>
      <c r="E188" s="2"/>
      <c r="F188" s="2"/>
      <c r="G188" s="2"/>
      <c r="H188" s="2"/>
      <c r="I188" s="2"/>
      <c r="J188" s="2"/>
      <c r="K188" s="2"/>
      <c r="L188" s="2"/>
      <c r="M188" s="2"/>
      <c r="N188" s="2"/>
      <c r="O188" s="2"/>
      <c r="P188" s="2"/>
      <c r="Q188" s="2"/>
      <c r="R188" s="2"/>
      <c r="S188" s="2"/>
      <c r="T188" s="2"/>
      <c r="U188" s="2"/>
      <c r="V188" s="22"/>
    </row>
    <row r="189" spans="4:22" ht="13.2" x14ac:dyDescent="0.25">
      <c r="D189" s="2"/>
      <c r="E189" s="2"/>
      <c r="F189" s="2"/>
      <c r="G189" s="2"/>
      <c r="H189" s="2"/>
      <c r="I189" s="2"/>
      <c r="J189" s="2"/>
      <c r="K189" s="2"/>
      <c r="L189" s="2"/>
      <c r="M189" s="2"/>
      <c r="N189" s="2"/>
      <c r="O189" s="2"/>
      <c r="P189" s="2"/>
      <c r="Q189" s="2"/>
      <c r="R189" s="2"/>
      <c r="S189" s="2"/>
      <c r="T189" s="2"/>
      <c r="U189" s="2"/>
      <c r="V189" s="22"/>
    </row>
    <row r="190" spans="4:22" ht="13.2" x14ac:dyDescent="0.25">
      <c r="D190" s="2"/>
      <c r="E190" s="2"/>
      <c r="F190" s="2"/>
      <c r="G190" s="2"/>
      <c r="H190" s="2"/>
      <c r="I190" s="2"/>
      <c r="J190" s="2"/>
      <c r="K190" s="2"/>
      <c r="L190" s="2"/>
      <c r="M190" s="2"/>
      <c r="N190" s="2"/>
      <c r="O190" s="2"/>
      <c r="P190" s="2"/>
      <c r="Q190" s="2"/>
      <c r="R190" s="2"/>
      <c r="S190" s="2"/>
      <c r="T190" s="2"/>
      <c r="U190" s="2"/>
      <c r="V190" s="22"/>
    </row>
    <row r="191" spans="4:22" ht="13.2" x14ac:dyDescent="0.25">
      <c r="D191" s="2"/>
      <c r="E191" s="2"/>
      <c r="F191" s="2"/>
      <c r="G191" s="2"/>
      <c r="H191" s="2"/>
      <c r="I191" s="2"/>
      <c r="J191" s="2"/>
      <c r="K191" s="2"/>
      <c r="L191" s="2"/>
      <c r="M191" s="2"/>
      <c r="N191" s="2"/>
      <c r="O191" s="2"/>
      <c r="P191" s="2"/>
      <c r="Q191" s="2"/>
      <c r="R191" s="2"/>
      <c r="S191" s="2"/>
      <c r="T191" s="2"/>
      <c r="U191" s="2"/>
      <c r="V191" s="22"/>
    </row>
    <row r="192" spans="4:22" ht="13.2" x14ac:dyDescent="0.25">
      <c r="D192" s="2"/>
      <c r="E192" s="2"/>
      <c r="F192" s="2"/>
      <c r="G192" s="2"/>
      <c r="H192" s="2"/>
      <c r="I192" s="2"/>
      <c r="J192" s="2"/>
      <c r="K192" s="2"/>
      <c r="L192" s="2"/>
      <c r="M192" s="2"/>
      <c r="N192" s="2"/>
      <c r="O192" s="2"/>
      <c r="P192" s="2"/>
      <c r="Q192" s="2"/>
      <c r="R192" s="2"/>
      <c r="S192" s="2"/>
      <c r="T192" s="2"/>
      <c r="U192" s="2"/>
      <c r="V192" s="22"/>
    </row>
    <row r="193" spans="4:22" ht="13.2" x14ac:dyDescent="0.25">
      <c r="D193" s="2"/>
      <c r="E193" s="2"/>
      <c r="F193" s="2"/>
      <c r="G193" s="2"/>
      <c r="H193" s="2"/>
      <c r="I193" s="2"/>
      <c r="J193" s="2"/>
      <c r="K193" s="2"/>
      <c r="L193" s="2"/>
      <c r="M193" s="2"/>
      <c r="N193" s="2"/>
      <c r="O193" s="2"/>
      <c r="P193" s="2"/>
      <c r="Q193" s="2"/>
      <c r="R193" s="2"/>
      <c r="S193" s="2"/>
      <c r="T193" s="2"/>
      <c r="U193" s="2"/>
      <c r="V193" s="22"/>
    </row>
    <row r="194" spans="4:22" ht="13.2" x14ac:dyDescent="0.25">
      <c r="D194" s="2"/>
      <c r="E194" s="2"/>
      <c r="F194" s="2"/>
      <c r="G194" s="2"/>
      <c r="H194" s="2"/>
      <c r="I194" s="2"/>
      <c r="J194" s="2"/>
      <c r="K194" s="2"/>
      <c r="L194" s="2"/>
      <c r="M194" s="2"/>
      <c r="N194" s="2"/>
      <c r="O194" s="2"/>
      <c r="P194" s="2"/>
      <c r="Q194" s="2"/>
      <c r="R194" s="2"/>
      <c r="S194" s="2"/>
      <c r="T194" s="2"/>
      <c r="U194" s="2"/>
      <c r="V194" s="22"/>
    </row>
    <row r="195" spans="4:22" ht="13.2" x14ac:dyDescent="0.25">
      <c r="D195" s="2"/>
      <c r="E195" s="2"/>
      <c r="F195" s="2"/>
      <c r="G195" s="2"/>
      <c r="H195" s="2"/>
      <c r="I195" s="2"/>
      <c r="J195" s="2"/>
      <c r="K195" s="2"/>
      <c r="L195" s="2"/>
      <c r="M195" s="2"/>
      <c r="N195" s="2"/>
      <c r="O195" s="2"/>
      <c r="P195" s="2"/>
      <c r="Q195" s="2"/>
      <c r="R195" s="2"/>
      <c r="S195" s="2"/>
      <c r="T195" s="2"/>
      <c r="U195" s="2"/>
      <c r="V195" s="22"/>
    </row>
    <row r="196" spans="4:22" ht="13.2" x14ac:dyDescent="0.25">
      <c r="D196" s="2"/>
      <c r="E196" s="2"/>
      <c r="F196" s="2"/>
      <c r="G196" s="2"/>
      <c r="H196" s="2"/>
      <c r="I196" s="2"/>
      <c r="J196" s="2"/>
      <c r="K196" s="2"/>
      <c r="L196" s="2"/>
      <c r="M196" s="2"/>
      <c r="N196" s="2"/>
      <c r="O196" s="2"/>
      <c r="P196" s="2"/>
      <c r="Q196" s="2"/>
      <c r="R196" s="2"/>
      <c r="S196" s="2"/>
      <c r="T196" s="2"/>
      <c r="U196" s="2"/>
      <c r="V196" s="22"/>
    </row>
    <row r="197" spans="4:22" ht="13.2" x14ac:dyDescent="0.25">
      <c r="D197" s="2"/>
      <c r="E197" s="2"/>
      <c r="F197" s="2"/>
      <c r="G197" s="2"/>
      <c r="H197" s="2"/>
      <c r="I197" s="2"/>
      <c r="J197" s="2"/>
      <c r="K197" s="2"/>
      <c r="L197" s="2"/>
      <c r="M197" s="2"/>
      <c r="N197" s="2"/>
      <c r="O197" s="2"/>
      <c r="P197" s="2"/>
      <c r="Q197" s="2"/>
      <c r="R197" s="2"/>
      <c r="S197" s="2"/>
      <c r="T197" s="2"/>
      <c r="U197" s="2"/>
      <c r="V197" s="22"/>
    </row>
    <row r="198" spans="4:22" ht="13.2" x14ac:dyDescent="0.25">
      <c r="D198" s="2"/>
      <c r="E198" s="2"/>
      <c r="F198" s="2"/>
      <c r="G198" s="2"/>
      <c r="H198" s="2"/>
      <c r="I198" s="2"/>
      <c r="J198" s="2"/>
      <c r="K198" s="2"/>
      <c r="L198" s="2"/>
      <c r="M198" s="2"/>
      <c r="N198" s="2"/>
      <c r="O198" s="2"/>
      <c r="P198" s="2"/>
      <c r="Q198" s="2"/>
      <c r="R198" s="2"/>
      <c r="S198" s="2"/>
      <c r="T198" s="2"/>
      <c r="U198" s="2"/>
      <c r="V198" s="22"/>
    </row>
    <row r="199" spans="4:22" ht="13.2" x14ac:dyDescent="0.25">
      <c r="D199" s="2"/>
      <c r="E199" s="2"/>
      <c r="F199" s="2"/>
      <c r="G199" s="2"/>
      <c r="H199" s="2"/>
      <c r="I199" s="2"/>
      <c r="J199" s="2"/>
      <c r="K199" s="2"/>
      <c r="L199" s="2"/>
      <c r="M199" s="2"/>
      <c r="N199" s="2"/>
      <c r="O199" s="2"/>
      <c r="P199" s="2"/>
      <c r="Q199" s="2"/>
      <c r="R199" s="2"/>
      <c r="S199" s="2"/>
      <c r="T199" s="2"/>
      <c r="U199" s="2"/>
      <c r="V199" s="22"/>
    </row>
    <row r="200" spans="4:22" ht="13.2" x14ac:dyDescent="0.25">
      <c r="D200" s="2"/>
      <c r="E200" s="2"/>
      <c r="F200" s="2"/>
      <c r="G200" s="2"/>
      <c r="H200" s="2"/>
      <c r="I200" s="2"/>
      <c r="J200" s="2"/>
      <c r="K200" s="2"/>
      <c r="L200" s="2"/>
      <c r="M200" s="2"/>
      <c r="N200" s="2"/>
      <c r="O200" s="2"/>
      <c r="P200" s="2"/>
      <c r="Q200" s="2"/>
      <c r="R200" s="2"/>
      <c r="S200" s="2"/>
      <c r="T200" s="2"/>
      <c r="U200" s="2"/>
      <c r="V200" s="22"/>
    </row>
    <row r="201" spans="4:22" ht="13.2" x14ac:dyDescent="0.25">
      <c r="D201" s="2"/>
      <c r="E201" s="2"/>
      <c r="F201" s="2"/>
      <c r="G201" s="2"/>
      <c r="H201" s="2"/>
      <c r="I201" s="2"/>
      <c r="J201" s="2"/>
      <c r="K201" s="2"/>
      <c r="L201" s="2"/>
      <c r="M201" s="2"/>
      <c r="N201" s="2"/>
      <c r="O201" s="2"/>
      <c r="P201" s="2"/>
      <c r="Q201" s="2"/>
      <c r="R201" s="2"/>
      <c r="S201" s="2"/>
      <c r="T201" s="2"/>
      <c r="U201" s="2"/>
      <c r="V201" s="22"/>
    </row>
    <row r="202" spans="4:22" ht="13.2" x14ac:dyDescent="0.25">
      <c r="D202" s="2"/>
      <c r="E202" s="2"/>
      <c r="F202" s="2"/>
      <c r="G202" s="2"/>
      <c r="H202" s="2"/>
      <c r="I202" s="2"/>
      <c r="J202" s="2"/>
      <c r="K202" s="2"/>
      <c r="L202" s="2"/>
      <c r="M202" s="2"/>
      <c r="N202" s="2"/>
      <c r="O202" s="2"/>
      <c r="P202" s="2"/>
      <c r="Q202" s="2"/>
      <c r="R202" s="2"/>
      <c r="S202" s="2"/>
      <c r="T202" s="2"/>
      <c r="U202" s="2"/>
      <c r="V202" s="22"/>
    </row>
    <row r="203" spans="4:22" ht="13.2" x14ac:dyDescent="0.25">
      <c r="D203" s="2"/>
      <c r="E203" s="2"/>
      <c r="F203" s="2"/>
      <c r="G203" s="2"/>
      <c r="H203" s="2"/>
      <c r="I203" s="2"/>
      <c r="J203" s="2"/>
      <c r="K203" s="2"/>
      <c r="L203" s="2"/>
      <c r="M203" s="2"/>
      <c r="N203" s="2"/>
      <c r="O203" s="2"/>
      <c r="P203" s="2"/>
      <c r="Q203" s="2"/>
      <c r="R203" s="2"/>
      <c r="S203" s="2"/>
      <c r="T203" s="2"/>
      <c r="U203" s="2"/>
      <c r="V203" s="22"/>
    </row>
    <row r="204" spans="4:22" ht="13.2" x14ac:dyDescent="0.25">
      <c r="D204" s="2"/>
      <c r="E204" s="2"/>
      <c r="F204" s="2"/>
      <c r="G204" s="2"/>
      <c r="H204" s="2"/>
      <c r="I204" s="2"/>
      <c r="J204" s="2"/>
      <c r="K204" s="2"/>
      <c r="L204" s="2"/>
      <c r="M204" s="2"/>
      <c r="N204" s="2"/>
      <c r="O204" s="2"/>
      <c r="P204" s="2"/>
      <c r="Q204" s="2"/>
      <c r="R204" s="2"/>
      <c r="S204" s="2"/>
      <c r="T204" s="2"/>
      <c r="U204" s="2"/>
      <c r="V204" s="22"/>
    </row>
    <row r="205" spans="4:22" ht="13.2" x14ac:dyDescent="0.25">
      <c r="D205" s="2"/>
      <c r="E205" s="2"/>
      <c r="F205" s="2"/>
      <c r="G205" s="2"/>
      <c r="H205" s="2"/>
      <c r="I205" s="2"/>
      <c r="J205" s="2"/>
      <c r="K205" s="2"/>
      <c r="L205" s="2"/>
      <c r="M205" s="2"/>
      <c r="N205" s="2"/>
      <c r="O205" s="2"/>
      <c r="P205" s="2"/>
      <c r="Q205" s="2"/>
      <c r="R205" s="2"/>
      <c r="S205" s="2"/>
      <c r="T205" s="2"/>
      <c r="U205" s="2"/>
      <c r="V205" s="22"/>
    </row>
    <row r="206" spans="4:22" ht="13.2" x14ac:dyDescent="0.25">
      <c r="D206" s="2"/>
      <c r="E206" s="2"/>
      <c r="F206" s="2"/>
      <c r="G206" s="2"/>
      <c r="H206" s="2"/>
      <c r="I206" s="2"/>
      <c r="J206" s="2"/>
      <c r="K206" s="2"/>
      <c r="L206" s="2"/>
      <c r="M206" s="2"/>
      <c r="N206" s="2"/>
      <c r="O206" s="2"/>
      <c r="P206" s="2"/>
      <c r="Q206" s="2"/>
      <c r="R206" s="2"/>
      <c r="S206" s="2"/>
      <c r="T206" s="2"/>
      <c r="U206" s="2"/>
      <c r="V206" s="22"/>
    </row>
    <row r="207" spans="4:22" ht="13.2" x14ac:dyDescent="0.25">
      <c r="D207" s="2"/>
      <c r="E207" s="2"/>
      <c r="F207" s="2"/>
      <c r="G207" s="2"/>
      <c r="H207" s="2"/>
      <c r="I207" s="2"/>
      <c r="J207" s="2"/>
      <c r="K207" s="2"/>
      <c r="L207" s="2"/>
      <c r="M207" s="2"/>
      <c r="N207" s="2"/>
      <c r="O207" s="2"/>
      <c r="P207" s="2"/>
      <c r="Q207" s="2"/>
      <c r="R207" s="2"/>
      <c r="S207" s="2"/>
      <c r="T207" s="2"/>
      <c r="U207" s="2"/>
      <c r="V207" s="22"/>
    </row>
    <row r="208" spans="4:22" ht="13.2" x14ac:dyDescent="0.25">
      <c r="D208" s="2"/>
      <c r="E208" s="2"/>
      <c r="F208" s="2"/>
      <c r="G208" s="2"/>
      <c r="H208" s="2"/>
      <c r="I208" s="2"/>
      <c r="J208" s="2"/>
      <c r="K208" s="2"/>
      <c r="L208" s="2"/>
      <c r="M208" s="2"/>
      <c r="N208" s="2"/>
      <c r="O208" s="2"/>
      <c r="P208" s="2"/>
      <c r="Q208" s="2"/>
      <c r="R208" s="2"/>
      <c r="S208" s="2"/>
      <c r="T208" s="2"/>
      <c r="U208" s="2"/>
      <c r="V208" s="22"/>
    </row>
    <row r="209" spans="4:22" ht="13.2" x14ac:dyDescent="0.25">
      <c r="D209" s="2"/>
      <c r="E209" s="2"/>
      <c r="F209" s="2"/>
      <c r="G209" s="2"/>
      <c r="H209" s="2"/>
      <c r="I209" s="2"/>
      <c r="J209" s="2"/>
      <c r="K209" s="2"/>
      <c r="L209" s="2"/>
      <c r="M209" s="2"/>
      <c r="N209" s="2"/>
      <c r="O209" s="2"/>
      <c r="P209" s="2"/>
      <c r="Q209" s="2"/>
      <c r="R209" s="2"/>
      <c r="S209" s="2"/>
      <c r="T209" s="2"/>
      <c r="U209" s="2"/>
      <c r="V209" s="22"/>
    </row>
    <row r="210" spans="4:22" ht="13.2" x14ac:dyDescent="0.25">
      <c r="D210" s="2"/>
      <c r="E210" s="2"/>
      <c r="F210" s="2"/>
      <c r="G210" s="2"/>
      <c r="H210" s="2"/>
      <c r="I210" s="2"/>
      <c r="J210" s="2"/>
      <c r="K210" s="2"/>
      <c r="L210" s="2"/>
      <c r="M210" s="2"/>
      <c r="N210" s="2"/>
      <c r="O210" s="2"/>
      <c r="P210" s="2"/>
      <c r="Q210" s="2"/>
      <c r="R210" s="2"/>
      <c r="S210" s="2"/>
      <c r="T210" s="2"/>
      <c r="U210" s="2"/>
      <c r="V210" s="22"/>
    </row>
    <row r="211" spans="4:22" ht="13.2" x14ac:dyDescent="0.25">
      <c r="D211" s="2"/>
      <c r="E211" s="2"/>
      <c r="F211" s="2"/>
      <c r="G211" s="2"/>
      <c r="H211" s="2"/>
      <c r="I211" s="2"/>
      <c r="J211" s="2"/>
      <c r="K211" s="2"/>
      <c r="L211" s="2"/>
      <c r="M211" s="2"/>
      <c r="N211" s="2"/>
      <c r="O211" s="2"/>
      <c r="P211" s="2"/>
      <c r="Q211" s="2"/>
      <c r="R211" s="2"/>
      <c r="S211" s="2"/>
      <c r="T211" s="2"/>
      <c r="U211" s="2"/>
      <c r="V211" s="22"/>
    </row>
    <row r="212" spans="4:22" ht="13.2" x14ac:dyDescent="0.25">
      <c r="D212" s="2"/>
      <c r="E212" s="2"/>
      <c r="F212" s="2"/>
      <c r="G212" s="2"/>
      <c r="H212" s="2"/>
      <c r="I212" s="2"/>
      <c r="J212" s="2"/>
      <c r="K212" s="2"/>
      <c r="L212" s="2"/>
      <c r="M212" s="2"/>
      <c r="N212" s="2"/>
      <c r="O212" s="2"/>
      <c r="P212" s="2"/>
      <c r="Q212" s="2"/>
      <c r="R212" s="2"/>
      <c r="S212" s="2"/>
      <c r="T212" s="2"/>
      <c r="U212" s="2"/>
      <c r="V212" s="22"/>
    </row>
    <row r="213" spans="4:22" ht="13.2" x14ac:dyDescent="0.25">
      <c r="D213" s="2"/>
      <c r="E213" s="2"/>
      <c r="F213" s="2"/>
      <c r="G213" s="2"/>
      <c r="H213" s="2"/>
      <c r="I213" s="2"/>
      <c r="J213" s="2"/>
      <c r="K213" s="2"/>
      <c r="L213" s="2"/>
      <c r="M213" s="2"/>
      <c r="N213" s="2"/>
      <c r="O213" s="2"/>
      <c r="P213" s="2"/>
      <c r="Q213" s="2"/>
      <c r="R213" s="2"/>
      <c r="S213" s="2"/>
      <c r="T213" s="2"/>
      <c r="U213" s="2"/>
      <c r="V213" s="22"/>
    </row>
    <row r="214" spans="4:22" ht="13.2" x14ac:dyDescent="0.25">
      <c r="D214" s="2"/>
      <c r="E214" s="2"/>
      <c r="F214" s="2"/>
      <c r="G214" s="2"/>
      <c r="H214" s="2"/>
      <c r="I214" s="2"/>
      <c r="J214" s="2"/>
      <c r="K214" s="2"/>
      <c r="L214" s="2"/>
      <c r="M214" s="2"/>
      <c r="N214" s="2"/>
      <c r="O214" s="2"/>
      <c r="P214" s="2"/>
      <c r="Q214" s="2"/>
      <c r="R214" s="2"/>
      <c r="S214" s="2"/>
      <c r="T214" s="2"/>
      <c r="U214" s="2"/>
      <c r="V214" s="22"/>
    </row>
    <row r="215" spans="4:22" ht="13.2" x14ac:dyDescent="0.25">
      <c r="D215" s="2"/>
      <c r="E215" s="2"/>
      <c r="F215" s="2"/>
      <c r="G215" s="2"/>
      <c r="H215" s="2"/>
      <c r="I215" s="2"/>
      <c r="J215" s="2"/>
      <c r="K215" s="2"/>
      <c r="L215" s="2"/>
      <c r="M215" s="2"/>
      <c r="N215" s="2"/>
      <c r="O215" s="2"/>
      <c r="P215" s="2"/>
      <c r="Q215" s="2"/>
      <c r="R215" s="2"/>
      <c r="S215" s="2"/>
      <c r="T215" s="2"/>
      <c r="U215" s="2"/>
      <c r="V215" s="22"/>
    </row>
    <row r="216" spans="4:22" ht="13.2" x14ac:dyDescent="0.25">
      <c r="D216" s="2"/>
      <c r="E216" s="2"/>
      <c r="F216" s="2"/>
      <c r="G216" s="2"/>
      <c r="H216" s="2"/>
      <c r="I216" s="2"/>
      <c r="J216" s="2"/>
      <c r="K216" s="2"/>
      <c r="L216" s="2"/>
      <c r="M216" s="2"/>
      <c r="N216" s="2"/>
      <c r="O216" s="2"/>
      <c r="P216" s="2"/>
      <c r="Q216" s="2"/>
      <c r="R216" s="2"/>
      <c r="S216" s="2"/>
      <c r="T216" s="2"/>
      <c r="U216" s="2"/>
      <c r="V216" s="22"/>
    </row>
    <row r="217" spans="4:22" ht="13.2" x14ac:dyDescent="0.25">
      <c r="D217" s="2"/>
      <c r="E217" s="2"/>
      <c r="F217" s="2"/>
      <c r="G217" s="2"/>
      <c r="H217" s="2"/>
      <c r="I217" s="2"/>
      <c r="J217" s="2"/>
      <c r="K217" s="2"/>
      <c r="L217" s="2"/>
      <c r="M217" s="2"/>
      <c r="N217" s="2"/>
      <c r="O217" s="2"/>
      <c r="P217" s="2"/>
      <c r="Q217" s="2"/>
      <c r="R217" s="2"/>
      <c r="S217" s="2"/>
      <c r="T217" s="2"/>
      <c r="U217" s="2"/>
      <c r="V217" s="22"/>
    </row>
    <row r="218" spans="4:22" ht="13.2" x14ac:dyDescent="0.25">
      <c r="D218" s="2"/>
      <c r="E218" s="2"/>
      <c r="F218" s="2"/>
      <c r="G218" s="2"/>
      <c r="H218" s="2"/>
      <c r="I218" s="2"/>
      <c r="J218" s="2"/>
      <c r="K218" s="2"/>
      <c r="L218" s="2"/>
      <c r="M218" s="2"/>
      <c r="N218" s="2"/>
      <c r="O218" s="2"/>
      <c r="P218" s="2"/>
      <c r="Q218" s="2"/>
      <c r="R218" s="2"/>
      <c r="S218" s="2"/>
      <c r="T218" s="2"/>
      <c r="U218" s="2"/>
      <c r="V218" s="22"/>
    </row>
    <row r="219" spans="4:22" ht="13.2" x14ac:dyDescent="0.25">
      <c r="D219" s="2"/>
      <c r="E219" s="2"/>
      <c r="F219" s="2"/>
      <c r="G219" s="2"/>
      <c r="H219" s="2"/>
      <c r="I219" s="2"/>
      <c r="J219" s="2"/>
      <c r="K219" s="2"/>
      <c r="L219" s="2"/>
      <c r="M219" s="2"/>
      <c r="N219" s="2"/>
      <c r="O219" s="2"/>
      <c r="P219" s="2"/>
      <c r="Q219" s="2"/>
      <c r="R219" s="2"/>
      <c r="S219" s="2"/>
      <c r="T219" s="2"/>
      <c r="U219" s="2"/>
      <c r="V219" s="22"/>
    </row>
    <row r="220" spans="4:22" ht="13.2" x14ac:dyDescent="0.25">
      <c r="D220" s="2"/>
      <c r="E220" s="2"/>
      <c r="F220" s="2"/>
      <c r="G220" s="2"/>
      <c r="H220" s="2"/>
      <c r="I220" s="2"/>
      <c r="J220" s="2"/>
      <c r="K220" s="2"/>
      <c r="L220" s="2"/>
      <c r="M220" s="2"/>
      <c r="N220" s="2"/>
      <c r="O220" s="2"/>
      <c r="P220" s="2"/>
      <c r="Q220" s="2"/>
      <c r="R220" s="2"/>
      <c r="S220" s="2"/>
      <c r="T220" s="2"/>
      <c r="U220" s="2"/>
      <c r="V220" s="22"/>
    </row>
    <row r="221" spans="4:22" ht="13.2" x14ac:dyDescent="0.25">
      <c r="D221" s="2"/>
      <c r="E221" s="2"/>
      <c r="F221" s="2"/>
      <c r="G221" s="2"/>
      <c r="H221" s="2"/>
      <c r="I221" s="2"/>
      <c r="J221" s="2"/>
      <c r="K221" s="2"/>
      <c r="L221" s="2"/>
      <c r="M221" s="2"/>
      <c r="N221" s="2"/>
      <c r="O221" s="2"/>
      <c r="P221" s="2"/>
      <c r="Q221" s="2"/>
      <c r="R221" s="2"/>
      <c r="S221" s="2"/>
      <c r="T221" s="2"/>
      <c r="U221" s="2"/>
      <c r="V221" s="22"/>
    </row>
    <row r="222" spans="4:22" ht="13.2" x14ac:dyDescent="0.25">
      <c r="D222" s="2"/>
      <c r="E222" s="2"/>
      <c r="F222" s="2"/>
      <c r="G222" s="2"/>
      <c r="H222" s="2"/>
      <c r="I222" s="2"/>
      <c r="J222" s="2"/>
      <c r="K222" s="2"/>
      <c r="L222" s="2"/>
      <c r="M222" s="2"/>
      <c r="N222" s="2"/>
      <c r="O222" s="2"/>
      <c r="P222" s="2"/>
      <c r="Q222" s="2"/>
      <c r="R222" s="2"/>
      <c r="S222" s="2"/>
      <c r="T222" s="2"/>
      <c r="U222" s="2"/>
      <c r="V222" s="22"/>
    </row>
    <row r="223" spans="4:22" ht="13.2" x14ac:dyDescent="0.25">
      <c r="D223" s="2"/>
      <c r="E223" s="2"/>
      <c r="F223" s="2"/>
      <c r="G223" s="2"/>
      <c r="H223" s="2"/>
      <c r="I223" s="2"/>
      <c r="J223" s="2"/>
      <c r="K223" s="2"/>
      <c r="L223" s="2"/>
      <c r="M223" s="2"/>
      <c r="N223" s="2"/>
      <c r="O223" s="2"/>
      <c r="P223" s="2"/>
      <c r="Q223" s="2"/>
      <c r="R223" s="2"/>
      <c r="S223" s="2"/>
      <c r="T223" s="2"/>
      <c r="U223" s="2"/>
      <c r="V223" s="22"/>
    </row>
    <row r="224" spans="4:22" ht="13.2" x14ac:dyDescent="0.25">
      <c r="D224" s="2"/>
      <c r="E224" s="2"/>
      <c r="F224" s="2"/>
      <c r="G224" s="2"/>
      <c r="H224" s="2"/>
      <c r="I224" s="2"/>
      <c r="J224" s="2"/>
      <c r="K224" s="2"/>
      <c r="L224" s="2"/>
      <c r="M224" s="2"/>
      <c r="N224" s="2"/>
      <c r="O224" s="2"/>
      <c r="P224" s="2"/>
      <c r="Q224" s="2"/>
      <c r="R224" s="2"/>
      <c r="S224" s="2"/>
      <c r="T224" s="2"/>
      <c r="U224" s="2"/>
      <c r="V224" s="22"/>
    </row>
    <row r="225" spans="4:22" ht="13.2" x14ac:dyDescent="0.25">
      <c r="D225" s="2"/>
      <c r="E225" s="2"/>
      <c r="F225" s="2"/>
      <c r="G225" s="2"/>
      <c r="H225" s="2"/>
      <c r="I225" s="2"/>
      <c r="J225" s="2"/>
      <c r="K225" s="2"/>
      <c r="L225" s="2"/>
      <c r="M225" s="2"/>
      <c r="N225" s="2"/>
      <c r="O225" s="2"/>
      <c r="P225" s="2"/>
      <c r="Q225" s="2"/>
      <c r="R225" s="2"/>
      <c r="S225" s="2"/>
      <c r="T225" s="2"/>
      <c r="U225" s="2"/>
      <c r="V225" s="22"/>
    </row>
    <row r="226" spans="4:22" ht="13.2" x14ac:dyDescent="0.25">
      <c r="D226" s="2"/>
      <c r="E226" s="2"/>
      <c r="F226" s="2"/>
      <c r="G226" s="2"/>
      <c r="H226" s="2"/>
      <c r="I226" s="2"/>
      <c r="J226" s="2"/>
      <c r="K226" s="2"/>
      <c r="L226" s="2"/>
      <c r="M226" s="2"/>
      <c r="N226" s="2"/>
      <c r="O226" s="2"/>
      <c r="P226" s="2"/>
      <c r="Q226" s="2"/>
      <c r="R226" s="2"/>
      <c r="S226" s="2"/>
      <c r="T226" s="2"/>
      <c r="U226" s="2"/>
      <c r="V226" s="22"/>
    </row>
    <row r="227" spans="4:22" ht="13.2" x14ac:dyDescent="0.25">
      <c r="D227" s="2"/>
      <c r="E227" s="2"/>
      <c r="F227" s="2"/>
      <c r="G227" s="2"/>
      <c r="H227" s="2"/>
      <c r="I227" s="2"/>
      <c r="J227" s="2"/>
      <c r="K227" s="2"/>
      <c r="L227" s="2"/>
      <c r="M227" s="2"/>
      <c r="N227" s="2"/>
      <c r="O227" s="2"/>
      <c r="P227" s="2"/>
      <c r="Q227" s="2"/>
      <c r="R227" s="2"/>
      <c r="S227" s="2"/>
      <c r="T227" s="2"/>
      <c r="U227" s="2"/>
      <c r="V227" s="22"/>
    </row>
    <row r="228" spans="4:22" ht="13.2" x14ac:dyDescent="0.25">
      <c r="D228" s="2"/>
      <c r="E228" s="2"/>
      <c r="F228" s="2"/>
      <c r="G228" s="2"/>
      <c r="H228" s="2"/>
      <c r="I228" s="2"/>
      <c r="J228" s="2"/>
      <c r="K228" s="2"/>
      <c r="L228" s="2"/>
      <c r="M228" s="2"/>
      <c r="N228" s="2"/>
      <c r="O228" s="2"/>
      <c r="P228" s="2"/>
      <c r="Q228" s="2"/>
      <c r="R228" s="2"/>
      <c r="S228" s="2"/>
      <c r="T228" s="2"/>
      <c r="U228" s="2"/>
      <c r="V228" s="22"/>
    </row>
    <row r="229" spans="4:22" ht="13.2" x14ac:dyDescent="0.25">
      <c r="D229" s="2"/>
      <c r="E229" s="2"/>
      <c r="F229" s="2"/>
      <c r="G229" s="2"/>
      <c r="H229" s="2"/>
      <c r="I229" s="2"/>
      <c r="J229" s="2"/>
      <c r="K229" s="2"/>
      <c r="L229" s="2"/>
      <c r="M229" s="2"/>
      <c r="N229" s="2"/>
      <c r="O229" s="2"/>
      <c r="P229" s="2"/>
      <c r="Q229" s="2"/>
      <c r="R229" s="2"/>
      <c r="S229" s="2"/>
      <c r="T229" s="2"/>
      <c r="U229" s="2"/>
      <c r="V229" s="22"/>
    </row>
    <row r="230" spans="4:22" ht="13.2" x14ac:dyDescent="0.25">
      <c r="D230" s="2"/>
      <c r="E230" s="2"/>
      <c r="F230" s="2"/>
      <c r="G230" s="2"/>
      <c r="H230" s="2"/>
      <c r="I230" s="2"/>
      <c r="J230" s="2"/>
      <c r="K230" s="2"/>
      <c r="L230" s="2"/>
      <c r="M230" s="2"/>
      <c r="N230" s="2"/>
      <c r="O230" s="2"/>
      <c r="P230" s="2"/>
      <c r="Q230" s="2"/>
      <c r="R230" s="2"/>
      <c r="S230" s="2"/>
      <c r="T230" s="2"/>
      <c r="U230" s="2"/>
      <c r="V230" s="22"/>
    </row>
    <row r="231" spans="4:22" ht="13.2" x14ac:dyDescent="0.25">
      <c r="D231" s="2"/>
      <c r="E231" s="2"/>
      <c r="F231" s="2"/>
      <c r="G231" s="2"/>
      <c r="H231" s="2"/>
      <c r="I231" s="2"/>
      <c r="J231" s="2"/>
      <c r="K231" s="2"/>
      <c r="L231" s="2"/>
      <c r="M231" s="2"/>
      <c r="N231" s="2"/>
      <c r="O231" s="2"/>
      <c r="P231" s="2"/>
      <c r="Q231" s="2"/>
      <c r="R231" s="2"/>
      <c r="S231" s="2"/>
      <c r="T231" s="2"/>
      <c r="U231" s="2"/>
      <c r="V231" s="22"/>
    </row>
    <row r="232" spans="4:22" ht="13.2" x14ac:dyDescent="0.25">
      <c r="D232" s="2"/>
      <c r="E232" s="2"/>
      <c r="F232" s="2"/>
      <c r="G232" s="2"/>
      <c r="H232" s="2"/>
      <c r="I232" s="2"/>
      <c r="J232" s="2"/>
      <c r="K232" s="2"/>
      <c r="L232" s="2"/>
      <c r="M232" s="2"/>
      <c r="N232" s="2"/>
      <c r="O232" s="2"/>
      <c r="P232" s="2"/>
      <c r="Q232" s="2"/>
      <c r="R232" s="2"/>
      <c r="S232" s="2"/>
      <c r="T232" s="2"/>
      <c r="U232" s="2"/>
      <c r="V232" s="22"/>
    </row>
    <row r="233" spans="4:22" ht="13.2" x14ac:dyDescent="0.25">
      <c r="D233" s="2"/>
      <c r="E233" s="2"/>
      <c r="F233" s="2"/>
      <c r="G233" s="2"/>
      <c r="H233" s="2"/>
      <c r="I233" s="2"/>
      <c r="J233" s="2"/>
      <c r="K233" s="2"/>
      <c r="L233" s="2"/>
      <c r="M233" s="2"/>
      <c r="N233" s="2"/>
      <c r="O233" s="2"/>
      <c r="P233" s="2"/>
      <c r="Q233" s="2"/>
      <c r="R233" s="2"/>
      <c r="S233" s="2"/>
      <c r="T233" s="2"/>
      <c r="U233" s="2"/>
      <c r="V233" s="22"/>
    </row>
    <row r="234" spans="4:22" ht="13.2" x14ac:dyDescent="0.25">
      <c r="D234" s="2"/>
      <c r="E234" s="2"/>
      <c r="F234" s="2"/>
      <c r="G234" s="2"/>
      <c r="H234" s="2"/>
      <c r="I234" s="2"/>
      <c r="J234" s="2"/>
      <c r="K234" s="2"/>
      <c r="L234" s="2"/>
      <c r="M234" s="2"/>
      <c r="N234" s="2"/>
      <c r="O234" s="2"/>
      <c r="P234" s="2"/>
      <c r="Q234" s="2"/>
      <c r="R234" s="2"/>
      <c r="S234" s="2"/>
      <c r="T234" s="2"/>
      <c r="U234" s="2"/>
      <c r="V234" s="22"/>
    </row>
    <row r="235" spans="4:22" ht="13.2" x14ac:dyDescent="0.25">
      <c r="D235" s="2"/>
      <c r="E235" s="2"/>
      <c r="F235" s="2"/>
      <c r="G235" s="2"/>
      <c r="H235" s="2"/>
      <c r="I235" s="2"/>
      <c r="J235" s="2"/>
      <c r="K235" s="2"/>
      <c r="L235" s="2"/>
      <c r="M235" s="2"/>
      <c r="N235" s="2"/>
      <c r="O235" s="2"/>
      <c r="P235" s="2"/>
      <c r="Q235" s="2"/>
      <c r="R235" s="2"/>
      <c r="S235" s="2"/>
      <c r="T235" s="2"/>
      <c r="U235" s="2"/>
      <c r="V235" s="22"/>
    </row>
    <row r="236" spans="4:22" ht="13.2" x14ac:dyDescent="0.25">
      <c r="D236" s="2"/>
      <c r="E236" s="2"/>
      <c r="F236" s="2"/>
      <c r="G236" s="2"/>
      <c r="H236" s="2"/>
      <c r="I236" s="2"/>
      <c r="J236" s="2"/>
      <c r="K236" s="2"/>
      <c r="L236" s="2"/>
      <c r="M236" s="2"/>
      <c r="N236" s="2"/>
      <c r="O236" s="2"/>
      <c r="P236" s="2"/>
      <c r="Q236" s="2"/>
      <c r="R236" s="2"/>
      <c r="S236" s="2"/>
      <c r="T236" s="2"/>
      <c r="U236" s="2"/>
      <c r="V236" s="22"/>
    </row>
    <row r="237" spans="4:22" ht="13.2" x14ac:dyDescent="0.25">
      <c r="D237" s="2"/>
      <c r="E237" s="2"/>
      <c r="F237" s="2"/>
      <c r="G237" s="2"/>
      <c r="H237" s="2"/>
      <c r="I237" s="2"/>
      <c r="J237" s="2"/>
      <c r="K237" s="2"/>
      <c r="L237" s="2"/>
      <c r="M237" s="2"/>
      <c r="N237" s="2"/>
      <c r="O237" s="2"/>
      <c r="P237" s="2"/>
      <c r="Q237" s="2"/>
      <c r="R237" s="2"/>
      <c r="S237" s="2"/>
      <c r="T237" s="2"/>
      <c r="U237" s="2"/>
      <c r="V237" s="22"/>
    </row>
    <row r="238" spans="4:22" ht="13.2" x14ac:dyDescent="0.25">
      <c r="D238" s="2"/>
      <c r="E238" s="2"/>
      <c r="F238" s="2"/>
      <c r="G238" s="2"/>
      <c r="H238" s="2"/>
      <c r="I238" s="2"/>
      <c r="J238" s="2"/>
      <c r="K238" s="2"/>
      <c r="L238" s="2"/>
      <c r="M238" s="2"/>
      <c r="N238" s="2"/>
      <c r="O238" s="2"/>
      <c r="P238" s="2"/>
      <c r="Q238" s="2"/>
      <c r="R238" s="2"/>
      <c r="S238" s="2"/>
      <c r="T238" s="2"/>
      <c r="U238" s="2"/>
      <c r="V238" s="22"/>
    </row>
    <row r="239" spans="4:22" ht="13.2" x14ac:dyDescent="0.25">
      <c r="D239" s="2"/>
      <c r="E239" s="2"/>
      <c r="F239" s="2"/>
      <c r="G239" s="2"/>
      <c r="H239" s="2"/>
      <c r="I239" s="2"/>
      <c r="J239" s="2"/>
      <c r="K239" s="2"/>
      <c r="L239" s="2"/>
      <c r="M239" s="2"/>
      <c r="N239" s="2"/>
      <c r="O239" s="2"/>
      <c r="P239" s="2"/>
      <c r="Q239" s="2"/>
      <c r="R239" s="2"/>
      <c r="S239" s="2"/>
      <c r="T239" s="2"/>
      <c r="U239" s="2"/>
      <c r="V239" s="22"/>
    </row>
    <row r="240" spans="4:22" ht="13.2" x14ac:dyDescent="0.25">
      <c r="D240" s="2"/>
      <c r="E240" s="2"/>
      <c r="F240" s="2"/>
      <c r="G240" s="2"/>
      <c r="H240" s="2"/>
      <c r="I240" s="2"/>
      <c r="J240" s="2"/>
      <c r="K240" s="2"/>
      <c r="L240" s="2"/>
      <c r="M240" s="2"/>
      <c r="N240" s="2"/>
      <c r="O240" s="2"/>
      <c r="P240" s="2"/>
      <c r="Q240" s="2"/>
      <c r="R240" s="2"/>
      <c r="S240" s="2"/>
      <c r="T240" s="2"/>
      <c r="U240" s="2"/>
      <c r="V240" s="22"/>
    </row>
    <row r="241" spans="4:22" ht="13.2" x14ac:dyDescent="0.25">
      <c r="D241" s="2"/>
      <c r="E241" s="2"/>
      <c r="F241" s="2"/>
      <c r="G241" s="2"/>
      <c r="H241" s="2"/>
      <c r="I241" s="2"/>
      <c r="J241" s="2"/>
      <c r="K241" s="2"/>
      <c r="L241" s="2"/>
      <c r="M241" s="2"/>
      <c r="N241" s="2"/>
      <c r="O241" s="2"/>
      <c r="P241" s="2"/>
      <c r="Q241" s="2"/>
      <c r="R241" s="2"/>
      <c r="S241" s="2"/>
      <c r="T241" s="2"/>
      <c r="U241" s="2"/>
      <c r="V241" s="22"/>
    </row>
    <row r="242" spans="4:22" ht="13.2" x14ac:dyDescent="0.25">
      <c r="D242" s="2"/>
      <c r="E242" s="2"/>
      <c r="F242" s="2"/>
      <c r="G242" s="2"/>
      <c r="H242" s="2"/>
      <c r="I242" s="2"/>
      <c r="J242" s="2"/>
      <c r="K242" s="2"/>
      <c r="L242" s="2"/>
      <c r="M242" s="2"/>
      <c r="N242" s="2"/>
      <c r="O242" s="2"/>
      <c r="P242" s="2"/>
      <c r="Q242" s="2"/>
      <c r="R242" s="2"/>
      <c r="S242" s="2"/>
      <c r="T242" s="2"/>
      <c r="U242" s="2"/>
      <c r="V242" s="22"/>
    </row>
    <row r="243" spans="4:22" ht="13.2" x14ac:dyDescent="0.25">
      <c r="D243" s="2"/>
      <c r="E243" s="2"/>
      <c r="F243" s="2"/>
      <c r="G243" s="2"/>
      <c r="H243" s="2"/>
      <c r="I243" s="2"/>
      <c r="J243" s="2"/>
      <c r="K243" s="2"/>
      <c r="L243" s="2"/>
      <c r="M243" s="2"/>
      <c r="N243" s="2"/>
      <c r="O243" s="2"/>
      <c r="P243" s="2"/>
      <c r="Q243" s="2"/>
      <c r="R243" s="2"/>
      <c r="S243" s="2"/>
      <c r="T243" s="2"/>
      <c r="U243" s="2"/>
      <c r="V243" s="22"/>
    </row>
    <row r="244" spans="4:22" ht="13.2" x14ac:dyDescent="0.25">
      <c r="D244" s="2"/>
      <c r="E244" s="2"/>
      <c r="F244" s="2"/>
      <c r="G244" s="2"/>
      <c r="H244" s="2"/>
      <c r="I244" s="2"/>
      <c r="J244" s="2"/>
      <c r="K244" s="2"/>
      <c r="L244" s="2"/>
      <c r="M244" s="2"/>
      <c r="N244" s="2"/>
      <c r="O244" s="2"/>
      <c r="P244" s="2"/>
      <c r="Q244" s="2"/>
      <c r="R244" s="2"/>
      <c r="S244" s="2"/>
      <c r="T244" s="2"/>
      <c r="U244" s="2"/>
      <c r="V244" s="22"/>
    </row>
    <row r="245" spans="4:22" ht="13.2" x14ac:dyDescent="0.25">
      <c r="D245" s="2"/>
      <c r="E245" s="2"/>
      <c r="F245" s="2"/>
      <c r="G245" s="2"/>
      <c r="H245" s="2"/>
      <c r="I245" s="2"/>
      <c r="J245" s="2"/>
      <c r="K245" s="2"/>
      <c r="L245" s="2"/>
      <c r="M245" s="2"/>
      <c r="N245" s="2"/>
      <c r="O245" s="2"/>
      <c r="P245" s="2"/>
      <c r="Q245" s="2"/>
      <c r="R245" s="2"/>
      <c r="S245" s="2"/>
      <c r="T245" s="2"/>
      <c r="U245" s="2"/>
      <c r="V245" s="22"/>
    </row>
    <row r="246" spans="4:22" ht="13.2" x14ac:dyDescent="0.25">
      <c r="D246" s="2"/>
      <c r="E246" s="2"/>
      <c r="F246" s="2"/>
      <c r="G246" s="2"/>
      <c r="H246" s="2"/>
      <c r="I246" s="2"/>
      <c r="J246" s="2"/>
      <c r="K246" s="2"/>
      <c r="L246" s="2"/>
      <c r="M246" s="2"/>
      <c r="N246" s="2"/>
      <c r="O246" s="2"/>
      <c r="P246" s="2"/>
      <c r="Q246" s="2"/>
      <c r="R246" s="2"/>
      <c r="S246" s="2"/>
      <c r="T246" s="2"/>
      <c r="U246" s="2"/>
      <c r="V246" s="22"/>
    </row>
    <row r="247" spans="4:22" ht="13.2" x14ac:dyDescent="0.25">
      <c r="D247" s="2"/>
      <c r="E247" s="2"/>
      <c r="F247" s="2"/>
      <c r="G247" s="2"/>
      <c r="H247" s="2"/>
      <c r="I247" s="2"/>
      <c r="J247" s="2"/>
      <c r="K247" s="2"/>
      <c r="L247" s="2"/>
      <c r="M247" s="2"/>
      <c r="N247" s="2"/>
      <c r="O247" s="2"/>
      <c r="P247" s="2"/>
      <c r="Q247" s="2"/>
      <c r="R247" s="2"/>
      <c r="S247" s="2"/>
      <c r="T247" s="2"/>
      <c r="U247" s="2"/>
      <c r="V247" s="22"/>
    </row>
    <row r="248" spans="4:22" ht="13.2" x14ac:dyDescent="0.25">
      <c r="D248" s="2"/>
      <c r="E248" s="2"/>
      <c r="F248" s="2"/>
      <c r="G248" s="2"/>
      <c r="H248" s="2"/>
      <c r="I248" s="2"/>
      <c r="J248" s="2"/>
      <c r="K248" s="2"/>
      <c r="L248" s="2"/>
      <c r="M248" s="2"/>
      <c r="N248" s="2"/>
      <c r="O248" s="2"/>
      <c r="P248" s="2"/>
      <c r="Q248" s="2"/>
      <c r="R248" s="2"/>
      <c r="S248" s="2"/>
      <c r="T248" s="2"/>
      <c r="U248" s="2"/>
      <c r="V248" s="22"/>
    </row>
    <row r="249" spans="4:22" ht="13.2" x14ac:dyDescent="0.25">
      <c r="D249" s="2"/>
      <c r="E249" s="2"/>
      <c r="F249" s="2"/>
      <c r="G249" s="2"/>
      <c r="H249" s="2"/>
      <c r="I249" s="2"/>
      <c r="J249" s="2"/>
      <c r="K249" s="2"/>
      <c r="L249" s="2"/>
      <c r="M249" s="2"/>
      <c r="N249" s="2"/>
      <c r="O249" s="2"/>
      <c r="P249" s="2"/>
      <c r="Q249" s="2"/>
      <c r="R249" s="2"/>
      <c r="S249" s="2"/>
      <c r="T249" s="2"/>
      <c r="U249" s="2"/>
      <c r="V249" s="22"/>
    </row>
    <row r="250" spans="4:22" ht="13.2" x14ac:dyDescent="0.25">
      <c r="D250" s="2"/>
      <c r="E250" s="2"/>
      <c r="F250" s="2"/>
      <c r="G250" s="2"/>
      <c r="H250" s="2"/>
      <c r="I250" s="2"/>
      <c r="J250" s="2"/>
      <c r="K250" s="2"/>
      <c r="L250" s="2"/>
      <c r="M250" s="2"/>
      <c r="N250" s="2"/>
      <c r="O250" s="2"/>
      <c r="P250" s="2"/>
      <c r="Q250" s="2"/>
      <c r="R250" s="2"/>
      <c r="S250" s="2"/>
      <c r="T250" s="2"/>
      <c r="U250" s="2"/>
      <c r="V250" s="22"/>
    </row>
    <row r="251" spans="4:22" ht="13.2" x14ac:dyDescent="0.25">
      <c r="D251" s="2"/>
      <c r="E251" s="2"/>
      <c r="F251" s="2"/>
      <c r="G251" s="2"/>
      <c r="H251" s="2"/>
      <c r="I251" s="2"/>
      <c r="J251" s="2"/>
      <c r="K251" s="2"/>
      <c r="L251" s="2"/>
      <c r="M251" s="2"/>
      <c r="N251" s="2"/>
      <c r="O251" s="2"/>
      <c r="P251" s="2"/>
      <c r="Q251" s="2"/>
      <c r="R251" s="2"/>
      <c r="S251" s="2"/>
      <c r="T251" s="2"/>
      <c r="U251" s="2"/>
      <c r="V251" s="22"/>
    </row>
    <row r="252" spans="4:22" ht="13.2" x14ac:dyDescent="0.25">
      <c r="D252" s="2"/>
      <c r="E252" s="2"/>
      <c r="F252" s="2"/>
      <c r="G252" s="2"/>
      <c r="H252" s="2"/>
      <c r="I252" s="2"/>
      <c r="J252" s="2"/>
      <c r="K252" s="2"/>
      <c r="L252" s="2"/>
      <c r="M252" s="2"/>
      <c r="N252" s="2"/>
      <c r="O252" s="2"/>
      <c r="P252" s="2"/>
      <c r="Q252" s="2"/>
      <c r="R252" s="2"/>
      <c r="S252" s="2"/>
      <c r="T252" s="2"/>
      <c r="U252" s="2"/>
      <c r="V252" s="22"/>
    </row>
    <row r="253" spans="4:22" ht="13.2" x14ac:dyDescent="0.25">
      <c r="D253" s="2"/>
      <c r="E253" s="2"/>
      <c r="F253" s="2"/>
      <c r="G253" s="2"/>
      <c r="H253" s="2"/>
      <c r="I253" s="2"/>
      <c r="J253" s="2"/>
      <c r="K253" s="2"/>
      <c r="L253" s="2"/>
      <c r="M253" s="2"/>
      <c r="N253" s="2"/>
      <c r="O253" s="2"/>
      <c r="P253" s="2"/>
      <c r="Q253" s="2"/>
      <c r="R253" s="2"/>
      <c r="S253" s="2"/>
      <c r="T253" s="2"/>
      <c r="U253" s="2"/>
      <c r="V253" s="22"/>
    </row>
    <row r="254" spans="4:22" ht="13.2" x14ac:dyDescent="0.25">
      <c r="D254" s="2"/>
      <c r="E254" s="2"/>
      <c r="F254" s="2"/>
      <c r="G254" s="2"/>
      <c r="H254" s="2"/>
      <c r="I254" s="2"/>
      <c r="J254" s="2"/>
      <c r="K254" s="2"/>
      <c r="L254" s="2"/>
      <c r="M254" s="2"/>
      <c r="N254" s="2"/>
      <c r="O254" s="2"/>
      <c r="P254" s="2"/>
      <c r="Q254" s="2"/>
      <c r="R254" s="2"/>
      <c r="S254" s="2"/>
      <c r="T254" s="2"/>
      <c r="U254" s="2"/>
      <c r="V254" s="22"/>
    </row>
    <row r="255" spans="4:22" ht="13.2" x14ac:dyDescent="0.25">
      <c r="D255" s="2"/>
      <c r="E255" s="2"/>
      <c r="F255" s="2"/>
      <c r="G255" s="2"/>
      <c r="H255" s="2"/>
      <c r="I255" s="2"/>
      <c r="J255" s="2"/>
      <c r="K255" s="2"/>
      <c r="L255" s="2"/>
      <c r="M255" s="2"/>
      <c r="N255" s="2"/>
      <c r="O255" s="2"/>
      <c r="P255" s="2"/>
      <c r="Q255" s="2"/>
      <c r="R255" s="2"/>
      <c r="S255" s="2"/>
      <c r="T255" s="2"/>
      <c r="U255" s="2"/>
      <c r="V255" s="22"/>
    </row>
    <row r="256" spans="4:22" ht="13.2" x14ac:dyDescent="0.25">
      <c r="D256" s="2"/>
      <c r="E256" s="2"/>
      <c r="F256" s="2"/>
      <c r="G256" s="2"/>
      <c r="H256" s="2"/>
      <c r="I256" s="2"/>
      <c r="J256" s="2"/>
      <c r="K256" s="2"/>
      <c r="L256" s="2"/>
      <c r="M256" s="2"/>
      <c r="N256" s="2"/>
      <c r="O256" s="2"/>
      <c r="P256" s="2"/>
      <c r="Q256" s="2"/>
      <c r="R256" s="2"/>
      <c r="S256" s="2"/>
      <c r="T256" s="2"/>
      <c r="U256" s="2"/>
      <c r="V256" s="22"/>
    </row>
    <row r="257" spans="4:22" ht="13.2" x14ac:dyDescent="0.25">
      <c r="D257" s="2"/>
      <c r="E257" s="2"/>
      <c r="F257" s="2"/>
      <c r="G257" s="2"/>
      <c r="H257" s="2"/>
      <c r="I257" s="2"/>
      <c r="J257" s="2"/>
      <c r="K257" s="2"/>
      <c r="L257" s="2"/>
      <c r="M257" s="2"/>
      <c r="N257" s="2"/>
      <c r="O257" s="2"/>
      <c r="P257" s="2"/>
      <c r="Q257" s="2"/>
      <c r="R257" s="2"/>
      <c r="S257" s="2"/>
      <c r="T257" s="2"/>
      <c r="U257" s="2"/>
      <c r="V257" s="22"/>
    </row>
    <row r="258" spans="4:22" ht="13.2" x14ac:dyDescent="0.25">
      <c r="D258" s="2"/>
      <c r="E258" s="2"/>
      <c r="F258" s="2"/>
      <c r="G258" s="2"/>
      <c r="H258" s="2"/>
      <c r="I258" s="2"/>
      <c r="J258" s="2"/>
      <c r="K258" s="2"/>
      <c r="L258" s="2"/>
      <c r="M258" s="2"/>
      <c r="N258" s="2"/>
      <c r="O258" s="2"/>
      <c r="P258" s="2"/>
      <c r="Q258" s="2"/>
      <c r="R258" s="2"/>
      <c r="S258" s="2"/>
      <c r="T258" s="2"/>
      <c r="U258" s="2"/>
      <c r="V258" s="22"/>
    </row>
    <row r="259" spans="4:22" ht="13.2" x14ac:dyDescent="0.25">
      <c r="D259" s="2"/>
      <c r="E259" s="2"/>
      <c r="F259" s="2"/>
      <c r="G259" s="2"/>
      <c r="H259" s="2"/>
      <c r="I259" s="2"/>
      <c r="J259" s="2"/>
      <c r="K259" s="2"/>
      <c r="L259" s="2"/>
      <c r="M259" s="2"/>
      <c r="N259" s="2"/>
      <c r="O259" s="2"/>
      <c r="P259" s="2"/>
      <c r="Q259" s="2"/>
      <c r="R259" s="2"/>
      <c r="S259" s="2"/>
      <c r="T259" s="2"/>
      <c r="U259" s="2"/>
      <c r="V259" s="22"/>
    </row>
    <row r="260" spans="4:22" ht="13.2" x14ac:dyDescent="0.25">
      <c r="D260" s="2"/>
      <c r="E260" s="2"/>
      <c r="F260" s="2"/>
      <c r="G260" s="2"/>
      <c r="H260" s="2"/>
      <c r="I260" s="2"/>
      <c r="J260" s="2"/>
      <c r="K260" s="2"/>
      <c r="L260" s="2"/>
      <c r="M260" s="2"/>
      <c r="N260" s="2"/>
      <c r="O260" s="2"/>
      <c r="P260" s="2"/>
      <c r="Q260" s="2"/>
      <c r="R260" s="2"/>
      <c r="S260" s="2"/>
      <c r="T260" s="2"/>
      <c r="U260" s="2"/>
      <c r="V260" s="22"/>
    </row>
    <row r="261" spans="4:22" ht="13.2" x14ac:dyDescent="0.25">
      <c r="D261" s="2"/>
      <c r="E261" s="2"/>
      <c r="F261" s="2"/>
      <c r="G261" s="2"/>
      <c r="H261" s="2"/>
      <c r="I261" s="2"/>
      <c r="J261" s="2"/>
      <c r="K261" s="2"/>
      <c r="L261" s="2"/>
      <c r="M261" s="2"/>
      <c r="N261" s="2"/>
      <c r="O261" s="2"/>
      <c r="P261" s="2"/>
      <c r="Q261" s="2"/>
      <c r="R261" s="2"/>
      <c r="S261" s="2"/>
      <c r="T261" s="2"/>
      <c r="U261" s="2"/>
      <c r="V261" s="22"/>
    </row>
    <row r="262" spans="4:22" ht="13.2" x14ac:dyDescent="0.25">
      <c r="D262" s="2"/>
      <c r="E262" s="2"/>
      <c r="F262" s="2"/>
      <c r="G262" s="2"/>
      <c r="H262" s="2"/>
      <c r="I262" s="2"/>
      <c r="J262" s="2"/>
      <c r="K262" s="2"/>
      <c r="L262" s="2"/>
      <c r="M262" s="2"/>
      <c r="N262" s="2"/>
      <c r="O262" s="2"/>
      <c r="P262" s="2"/>
      <c r="Q262" s="2"/>
      <c r="R262" s="2"/>
      <c r="S262" s="2"/>
      <c r="T262" s="2"/>
      <c r="U262" s="2"/>
      <c r="V262" s="22"/>
    </row>
    <row r="263" spans="4:22" ht="13.2" x14ac:dyDescent="0.25">
      <c r="D263" s="2"/>
      <c r="E263" s="2"/>
      <c r="F263" s="2"/>
      <c r="G263" s="2"/>
      <c r="H263" s="2"/>
      <c r="I263" s="2"/>
      <c r="J263" s="2"/>
      <c r="K263" s="2"/>
      <c r="L263" s="2"/>
      <c r="M263" s="2"/>
      <c r="N263" s="2"/>
      <c r="O263" s="2"/>
      <c r="P263" s="2"/>
      <c r="Q263" s="2"/>
      <c r="R263" s="2"/>
      <c r="S263" s="2"/>
      <c r="T263" s="2"/>
      <c r="U263" s="2"/>
      <c r="V263" s="22"/>
    </row>
    <row r="264" spans="4:22" ht="13.2" x14ac:dyDescent="0.25">
      <c r="D264" s="2"/>
      <c r="E264" s="2"/>
      <c r="F264" s="2"/>
      <c r="G264" s="2"/>
      <c r="H264" s="2"/>
      <c r="I264" s="2"/>
      <c r="J264" s="2"/>
      <c r="K264" s="2"/>
      <c r="L264" s="2"/>
      <c r="M264" s="2"/>
      <c r="N264" s="2"/>
      <c r="O264" s="2"/>
      <c r="P264" s="2"/>
      <c r="Q264" s="2"/>
      <c r="R264" s="2"/>
      <c r="S264" s="2"/>
      <c r="T264" s="2"/>
      <c r="U264" s="2"/>
      <c r="V264" s="22"/>
    </row>
    <row r="265" spans="4:22" ht="13.2" x14ac:dyDescent="0.25">
      <c r="D265" s="2"/>
      <c r="E265" s="2"/>
      <c r="F265" s="2"/>
      <c r="G265" s="2"/>
      <c r="H265" s="2"/>
      <c r="I265" s="2"/>
      <c r="J265" s="2"/>
      <c r="K265" s="2"/>
      <c r="L265" s="2"/>
      <c r="M265" s="2"/>
      <c r="N265" s="2"/>
      <c r="O265" s="2"/>
      <c r="P265" s="2"/>
      <c r="Q265" s="2"/>
      <c r="R265" s="2"/>
      <c r="S265" s="2"/>
      <c r="T265" s="2"/>
      <c r="U265" s="2"/>
      <c r="V265" s="22"/>
    </row>
    <row r="266" spans="4:22" ht="13.2" x14ac:dyDescent="0.25">
      <c r="D266" s="2"/>
      <c r="E266" s="2"/>
      <c r="F266" s="2"/>
      <c r="G266" s="2"/>
      <c r="H266" s="2"/>
      <c r="I266" s="2"/>
      <c r="J266" s="2"/>
      <c r="K266" s="2"/>
      <c r="L266" s="2"/>
      <c r="M266" s="2"/>
      <c r="N266" s="2"/>
      <c r="O266" s="2"/>
      <c r="P266" s="2"/>
      <c r="Q266" s="2"/>
      <c r="R266" s="2"/>
      <c r="S266" s="2"/>
      <c r="T266" s="2"/>
      <c r="U266" s="2"/>
      <c r="V266" s="22"/>
    </row>
    <row r="267" spans="4:22" ht="13.2" x14ac:dyDescent="0.25">
      <c r="D267" s="2"/>
      <c r="E267" s="2"/>
      <c r="F267" s="2"/>
      <c r="G267" s="2"/>
      <c r="H267" s="2"/>
      <c r="I267" s="2"/>
      <c r="J267" s="2"/>
      <c r="K267" s="2"/>
      <c r="L267" s="2"/>
      <c r="M267" s="2"/>
      <c r="N267" s="2"/>
      <c r="O267" s="2"/>
      <c r="P267" s="2"/>
      <c r="Q267" s="2"/>
      <c r="R267" s="2"/>
      <c r="S267" s="2"/>
      <c r="T267" s="2"/>
      <c r="U267" s="2"/>
      <c r="V267" s="22"/>
    </row>
    <row r="268" spans="4:22" ht="13.2" x14ac:dyDescent="0.25">
      <c r="D268" s="2"/>
      <c r="E268" s="2"/>
      <c r="F268" s="2"/>
      <c r="G268" s="2"/>
      <c r="H268" s="2"/>
      <c r="I268" s="2"/>
      <c r="J268" s="2"/>
      <c r="K268" s="2"/>
      <c r="L268" s="2"/>
      <c r="M268" s="2"/>
      <c r="N268" s="2"/>
      <c r="O268" s="2"/>
      <c r="P268" s="2"/>
      <c r="Q268" s="2"/>
      <c r="R268" s="2"/>
      <c r="S268" s="2"/>
      <c r="T268" s="2"/>
      <c r="U268" s="2"/>
      <c r="V268" s="22"/>
    </row>
    <row r="269" spans="4:22" ht="13.2" x14ac:dyDescent="0.25">
      <c r="D269" s="2"/>
      <c r="E269" s="2"/>
      <c r="F269" s="2"/>
      <c r="G269" s="2"/>
      <c r="H269" s="2"/>
      <c r="I269" s="2"/>
      <c r="J269" s="2"/>
      <c r="K269" s="2"/>
      <c r="L269" s="2"/>
      <c r="M269" s="2"/>
      <c r="N269" s="2"/>
      <c r="O269" s="2"/>
      <c r="P269" s="2"/>
      <c r="Q269" s="2"/>
      <c r="R269" s="2"/>
      <c r="S269" s="2"/>
      <c r="T269" s="2"/>
      <c r="U269" s="2"/>
      <c r="V269" s="22"/>
    </row>
    <row r="270" spans="4:22" ht="13.2" x14ac:dyDescent="0.25">
      <c r="D270" s="2"/>
      <c r="E270" s="2"/>
      <c r="F270" s="2"/>
      <c r="G270" s="2"/>
      <c r="H270" s="2"/>
      <c r="I270" s="2"/>
      <c r="J270" s="2"/>
      <c r="K270" s="2"/>
      <c r="L270" s="2"/>
      <c r="M270" s="2"/>
      <c r="N270" s="2"/>
      <c r="O270" s="2"/>
      <c r="P270" s="2"/>
      <c r="Q270" s="2"/>
      <c r="R270" s="2"/>
      <c r="S270" s="2"/>
      <c r="T270" s="2"/>
      <c r="U270" s="2"/>
      <c r="V270" s="22"/>
    </row>
    <row r="271" spans="4:22" ht="13.2" x14ac:dyDescent="0.25">
      <c r="D271" s="2"/>
      <c r="E271" s="2"/>
      <c r="F271" s="2"/>
      <c r="G271" s="2"/>
      <c r="H271" s="2"/>
      <c r="I271" s="2"/>
      <c r="J271" s="2"/>
      <c r="K271" s="2"/>
      <c r="L271" s="2"/>
      <c r="M271" s="2"/>
      <c r="N271" s="2"/>
      <c r="O271" s="2"/>
      <c r="P271" s="2"/>
      <c r="Q271" s="2"/>
      <c r="R271" s="2"/>
      <c r="S271" s="2"/>
      <c r="T271" s="2"/>
      <c r="U271" s="2"/>
      <c r="V271" s="22"/>
    </row>
    <row r="272" spans="4:22" ht="13.2" x14ac:dyDescent="0.25">
      <c r="D272" s="2"/>
      <c r="E272" s="2"/>
      <c r="F272" s="2"/>
      <c r="G272" s="2"/>
      <c r="H272" s="2"/>
      <c r="I272" s="2"/>
      <c r="J272" s="2"/>
      <c r="K272" s="2"/>
      <c r="L272" s="2"/>
      <c r="M272" s="2"/>
      <c r="N272" s="2"/>
      <c r="O272" s="2"/>
      <c r="P272" s="2"/>
      <c r="Q272" s="2"/>
      <c r="R272" s="2"/>
      <c r="S272" s="2"/>
      <c r="T272" s="2"/>
      <c r="U272" s="2"/>
      <c r="V272" s="22"/>
    </row>
    <row r="273" spans="4:22" ht="13.2" x14ac:dyDescent="0.25">
      <c r="D273" s="2"/>
      <c r="E273" s="2"/>
      <c r="F273" s="2"/>
      <c r="G273" s="2"/>
      <c r="H273" s="2"/>
      <c r="I273" s="2"/>
      <c r="J273" s="2"/>
      <c r="K273" s="2"/>
      <c r="L273" s="2"/>
      <c r="M273" s="2"/>
      <c r="N273" s="2"/>
      <c r="O273" s="2"/>
      <c r="P273" s="2"/>
      <c r="Q273" s="2"/>
      <c r="R273" s="2"/>
      <c r="S273" s="2"/>
      <c r="T273" s="2"/>
      <c r="U273" s="2"/>
      <c r="V273" s="22"/>
    </row>
    <row r="274" spans="4:22" ht="13.2" x14ac:dyDescent="0.25">
      <c r="D274" s="2"/>
      <c r="E274" s="2"/>
      <c r="F274" s="2"/>
      <c r="G274" s="2"/>
      <c r="H274" s="2"/>
      <c r="I274" s="2"/>
      <c r="J274" s="2"/>
      <c r="K274" s="2"/>
      <c r="L274" s="2"/>
      <c r="M274" s="2"/>
      <c r="N274" s="2"/>
      <c r="O274" s="2"/>
      <c r="P274" s="2"/>
      <c r="Q274" s="2"/>
      <c r="R274" s="2"/>
      <c r="S274" s="2"/>
      <c r="T274" s="2"/>
      <c r="U274" s="2"/>
      <c r="V274" s="22"/>
    </row>
    <row r="275" spans="4:22" ht="13.2" x14ac:dyDescent="0.25">
      <c r="D275" s="2"/>
      <c r="E275" s="2"/>
      <c r="F275" s="2"/>
      <c r="G275" s="2"/>
      <c r="H275" s="2"/>
      <c r="I275" s="2"/>
      <c r="J275" s="2"/>
      <c r="K275" s="2"/>
      <c r="L275" s="2"/>
      <c r="M275" s="2"/>
      <c r="N275" s="2"/>
      <c r="O275" s="2"/>
      <c r="P275" s="2"/>
      <c r="Q275" s="2"/>
      <c r="R275" s="2"/>
      <c r="S275" s="2"/>
      <c r="T275" s="2"/>
      <c r="U275" s="2"/>
      <c r="V275" s="22"/>
    </row>
    <row r="276" spans="4:22" ht="13.2" x14ac:dyDescent="0.25">
      <c r="D276" s="2"/>
      <c r="E276" s="2"/>
      <c r="F276" s="2"/>
      <c r="G276" s="2"/>
      <c r="H276" s="2"/>
      <c r="I276" s="2"/>
      <c r="J276" s="2"/>
      <c r="K276" s="2"/>
      <c r="L276" s="2"/>
      <c r="M276" s="2"/>
      <c r="N276" s="2"/>
      <c r="O276" s="2"/>
      <c r="P276" s="2"/>
      <c r="Q276" s="2"/>
      <c r="R276" s="2"/>
      <c r="S276" s="2"/>
      <c r="T276" s="2"/>
      <c r="U276" s="2"/>
      <c r="V276" s="22"/>
    </row>
    <row r="277" spans="4:22" ht="13.2" x14ac:dyDescent="0.25">
      <c r="D277" s="2"/>
      <c r="E277" s="2"/>
      <c r="F277" s="2"/>
      <c r="G277" s="2"/>
      <c r="H277" s="2"/>
      <c r="I277" s="2"/>
      <c r="J277" s="2"/>
      <c r="K277" s="2"/>
      <c r="L277" s="2"/>
      <c r="M277" s="2"/>
      <c r="N277" s="2"/>
      <c r="O277" s="2"/>
      <c r="P277" s="2"/>
      <c r="Q277" s="2"/>
      <c r="R277" s="2"/>
      <c r="S277" s="2"/>
      <c r="T277" s="2"/>
      <c r="U277" s="2"/>
      <c r="V277" s="22"/>
    </row>
    <row r="278" spans="4:22" ht="13.2" x14ac:dyDescent="0.25">
      <c r="D278" s="2"/>
      <c r="E278" s="2"/>
      <c r="F278" s="2"/>
      <c r="G278" s="2"/>
      <c r="H278" s="2"/>
      <c r="I278" s="2"/>
      <c r="J278" s="2"/>
      <c r="K278" s="2"/>
      <c r="L278" s="2"/>
      <c r="M278" s="2"/>
      <c r="N278" s="2"/>
      <c r="O278" s="2"/>
      <c r="P278" s="2"/>
      <c r="Q278" s="2"/>
      <c r="R278" s="2"/>
      <c r="S278" s="2"/>
      <c r="T278" s="2"/>
      <c r="U278" s="2"/>
      <c r="V278" s="22"/>
    </row>
    <row r="279" spans="4:22" ht="13.2" x14ac:dyDescent="0.25">
      <c r="D279" s="2"/>
      <c r="E279" s="2"/>
      <c r="F279" s="2"/>
      <c r="G279" s="2"/>
      <c r="H279" s="2"/>
      <c r="I279" s="2"/>
      <c r="J279" s="2"/>
      <c r="K279" s="2"/>
      <c r="L279" s="2"/>
      <c r="M279" s="2"/>
      <c r="N279" s="2"/>
      <c r="O279" s="2"/>
      <c r="P279" s="2"/>
      <c r="Q279" s="2"/>
      <c r="R279" s="2"/>
      <c r="S279" s="2"/>
      <c r="T279" s="2"/>
      <c r="U279" s="2"/>
      <c r="V279" s="22"/>
    </row>
    <row r="280" spans="4:22" ht="13.2" x14ac:dyDescent="0.25">
      <c r="D280" s="2"/>
      <c r="E280" s="2"/>
      <c r="F280" s="2"/>
      <c r="G280" s="2"/>
      <c r="H280" s="2"/>
      <c r="I280" s="2"/>
      <c r="J280" s="2"/>
      <c r="K280" s="2"/>
      <c r="L280" s="2"/>
      <c r="M280" s="2"/>
      <c r="N280" s="2"/>
      <c r="O280" s="2"/>
      <c r="P280" s="2"/>
      <c r="Q280" s="2"/>
      <c r="R280" s="2"/>
      <c r="S280" s="2"/>
      <c r="T280" s="2"/>
      <c r="U280" s="2"/>
      <c r="V280" s="22"/>
    </row>
    <row r="281" spans="4:22" ht="13.2" x14ac:dyDescent="0.25">
      <c r="D281" s="2"/>
      <c r="E281" s="2"/>
      <c r="F281" s="2"/>
      <c r="G281" s="2"/>
      <c r="H281" s="2"/>
      <c r="I281" s="2"/>
      <c r="J281" s="2"/>
      <c r="K281" s="2"/>
      <c r="L281" s="2"/>
      <c r="M281" s="2"/>
      <c r="N281" s="2"/>
      <c r="O281" s="2"/>
      <c r="P281" s="2"/>
      <c r="Q281" s="2"/>
      <c r="R281" s="2"/>
      <c r="S281" s="2"/>
      <c r="T281" s="2"/>
      <c r="U281" s="2"/>
      <c r="V281" s="22"/>
    </row>
    <row r="282" spans="4:22" ht="13.2" x14ac:dyDescent="0.25">
      <c r="D282" s="2"/>
      <c r="E282" s="2"/>
      <c r="F282" s="2"/>
      <c r="G282" s="2"/>
      <c r="H282" s="2"/>
      <c r="I282" s="2"/>
      <c r="J282" s="2"/>
      <c r="K282" s="2"/>
      <c r="L282" s="2"/>
      <c r="M282" s="2"/>
      <c r="N282" s="2"/>
      <c r="O282" s="2"/>
      <c r="P282" s="2"/>
      <c r="Q282" s="2"/>
      <c r="R282" s="2"/>
      <c r="S282" s="2"/>
      <c r="T282" s="2"/>
      <c r="U282" s="2"/>
      <c r="V282" s="22"/>
    </row>
    <row r="283" spans="4:22" ht="13.2" x14ac:dyDescent="0.25">
      <c r="D283" s="2"/>
      <c r="E283" s="2"/>
      <c r="F283" s="2"/>
      <c r="G283" s="2"/>
      <c r="H283" s="2"/>
      <c r="I283" s="2"/>
      <c r="J283" s="2"/>
      <c r="K283" s="2"/>
      <c r="L283" s="2"/>
      <c r="M283" s="2"/>
      <c r="N283" s="2"/>
      <c r="O283" s="2"/>
      <c r="P283" s="2"/>
      <c r="Q283" s="2"/>
      <c r="R283" s="2"/>
      <c r="S283" s="2"/>
      <c r="T283" s="2"/>
      <c r="U283" s="2"/>
      <c r="V283" s="22"/>
    </row>
    <row r="284" spans="4:22" ht="13.2" x14ac:dyDescent="0.25">
      <c r="D284" s="2"/>
      <c r="E284" s="2"/>
      <c r="F284" s="2"/>
      <c r="G284" s="2"/>
      <c r="H284" s="2"/>
      <c r="I284" s="2"/>
      <c r="J284" s="2"/>
      <c r="K284" s="2"/>
      <c r="L284" s="2"/>
      <c r="M284" s="2"/>
      <c r="N284" s="2"/>
      <c r="O284" s="2"/>
      <c r="P284" s="2"/>
      <c r="Q284" s="2"/>
      <c r="R284" s="2"/>
      <c r="S284" s="2"/>
      <c r="T284" s="2"/>
      <c r="U284" s="2"/>
      <c r="V284" s="22"/>
    </row>
    <row r="285" spans="4:22" ht="13.2" x14ac:dyDescent="0.25">
      <c r="D285" s="2"/>
      <c r="E285" s="2"/>
      <c r="F285" s="2"/>
      <c r="G285" s="2"/>
      <c r="H285" s="2"/>
      <c r="I285" s="2"/>
      <c r="J285" s="2"/>
      <c r="K285" s="2"/>
      <c r="L285" s="2"/>
      <c r="M285" s="2"/>
      <c r="N285" s="2"/>
      <c r="O285" s="2"/>
      <c r="P285" s="2"/>
      <c r="Q285" s="2"/>
      <c r="R285" s="2"/>
      <c r="S285" s="2"/>
      <c r="T285" s="2"/>
      <c r="U285" s="2"/>
      <c r="V285" s="22"/>
    </row>
    <row r="286" spans="4:22" ht="13.2" x14ac:dyDescent="0.25">
      <c r="D286" s="2"/>
      <c r="E286" s="2"/>
      <c r="F286" s="2"/>
      <c r="G286" s="2"/>
      <c r="H286" s="2"/>
      <c r="I286" s="2"/>
      <c r="J286" s="2"/>
      <c r="K286" s="2"/>
      <c r="L286" s="2"/>
      <c r="M286" s="2"/>
      <c r="N286" s="2"/>
      <c r="O286" s="2"/>
      <c r="P286" s="2"/>
      <c r="Q286" s="2"/>
      <c r="R286" s="2"/>
      <c r="S286" s="2"/>
      <c r="T286" s="2"/>
      <c r="U286" s="2"/>
      <c r="V286" s="22"/>
    </row>
    <row r="287" spans="4:22" ht="13.2" x14ac:dyDescent="0.25">
      <c r="D287" s="2"/>
      <c r="E287" s="2"/>
      <c r="F287" s="2"/>
      <c r="G287" s="2"/>
      <c r="H287" s="2"/>
      <c r="I287" s="2"/>
      <c r="J287" s="2"/>
      <c r="K287" s="2"/>
      <c r="L287" s="2"/>
      <c r="M287" s="2"/>
      <c r="N287" s="2"/>
      <c r="O287" s="2"/>
      <c r="P287" s="2"/>
      <c r="Q287" s="2"/>
      <c r="R287" s="2"/>
      <c r="S287" s="2"/>
      <c r="T287" s="2"/>
      <c r="U287" s="2"/>
      <c r="V287" s="22"/>
    </row>
    <row r="288" spans="4:22" ht="13.2" x14ac:dyDescent="0.25">
      <c r="D288" s="2"/>
      <c r="E288" s="2"/>
      <c r="F288" s="2"/>
      <c r="G288" s="2"/>
      <c r="H288" s="2"/>
      <c r="I288" s="2"/>
      <c r="J288" s="2"/>
      <c r="K288" s="2"/>
      <c r="L288" s="2"/>
      <c r="M288" s="2"/>
      <c r="N288" s="2"/>
      <c r="O288" s="2"/>
      <c r="P288" s="2"/>
      <c r="Q288" s="2"/>
      <c r="R288" s="2"/>
      <c r="S288" s="2"/>
      <c r="T288" s="2"/>
      <c r="U288" s="2"/>
      <c r="V288" s="22"/>
    </row>
    <row r="289" spans="4:22" ht="13.2" x14ac:dyDescent="0.25">
      <c r="D289" s="2"/>
      <c r="E289" s="2"/>
      <c r="F289" s="2"/>
      <c r="G289" s="2"/>
      <c r="H289" s="2"/>
      <c r="I289" s="2"/>
      <c r="J289" s="2"/>
      <c r="K289" s="2"/>
      <c r="L289" s="2"/>
      <c r="M289" s="2"/>
      <c r="N289" s="2"/>
      <c r="O289" s="2"/>
      <c r="P289" s="2"/>
      <c r="Q289" s="2"/>
      <c r="R289" s="2"/>
      <c r="S289" s="2"/>
      <c r="T289" s="2"/>
      <c r="U289" s="2"/>
      <c r="V289" s="22"/>
    </row>
    <row r="290" spans="4:22" ht="13.2" x14ac:dyDescent="0.25">
      <c r="D290" s="2"/>
      <c r="E290" s="2"/>
      <c r="F290" s="2"/>
      <c r="G290" s="2"/>
      <c r="H290" s="2"/>
      <c r="I290" s="2"/>
      <c r="J290" s="2"/>
      <c r="K290" s="2"/>
      <c r="L290" s="2"/>
      <c r="M290" s="2"/>
      <c r="N290" s="2"/>
      <c r="O290" s="2"/>
      <c r="P290" s="2"/>
      <c r="Q290" s="2"/>
      <c r="R290" s="2"/>
      <c r="S290" s="2"/>
      <c r="T290" s="2"/>
      <c r="U290" s="2"/>
      <c r="V290" s="22"/>
    </row>
    <row r="291" spans="4:22" ht="13.2" x14ac:dyDescent="0.25">
      <c r="D291" s="2"/>
      <c r="E291" s="2"/>
      <c r="F291" s="2"/>
      <c r="G291" s="2"/>
      <c r="H291" s="2"/>
      <c r="I291" s="2"/>
      <c r="J291" s="2"/>
      <c r="K291" s="2"/>
      <c r="L291" s="2"/>
      <c r="M291" s="2"/>
      <c r="N291" s="2"/>
      <c r="O291" s="2"/>
      <c r="P291" s="2"/>
      <c r="Q291" s="2"/>
      <c r="R291" s="2"/>
      <c r="S291" s="2"/>
      <c r="T291" s="2"/>
      <c r="U291" s="2"/>
      <c r="V291" s="22"/>
    </row>
    <row r="292" spans="4:22" ht="13.2" x14ac:dyDescent="0.25">
      <c r="D292" s="2"/>
      <c r="E292" s="2"/>
      <c r="F292" s="2"/>
      <c r="G292" s="2"/>
      <c r="H292" s="2"/>
      <c r="I292" s="2"/>
      <c r="J292" s="2"/>
      <c r="K292" s="2"/>
      <c r="L292" s="2"/>
      <c r="M292" s="2"/>
      <c r="N292" s="2"/>
      <c r="O292" s="2"/>
      <c r="P292" s="2"/>
      <c r="Q292" s="2"/>
      <c r="R292" s="2"/>
      <c r="S292" s="2"/>
      <c r="T292" s="2"/>
      <c r="U292" s="2"/>
      <c r="V292" s="22"/>
    </row>
    <row r="293" spans="4:22" ht="13.2" x14ac:dyDescent="0.25">
      <c r="D293" s="2"/>
      <c r="E293" s="2"/>
      <c r="F293" s="2"/>
      <c r="G293" s="2"/>
      <c r="H293" s="2"/>
      <c r="I293" s="2"/>
      <c r="J293" s="2"/>
      <c r="K293" s="2"/>
      <c r="L293" s="2"/>
      <c r="M293" s="2"/>
      <c r="N293" s="2"/>
      <c r="O293" s="2"/>
      <c r="P293" s="2"/>
      <c r="Q293" s="2"/>
      <c r="R293" s="2"/>
      <c r="S293" s="2"/>
      <c r="T293" s="2"/>
      <c r="U293" s="2"/>
      <c r="V293" s="22"/>
    </row>
    <row r="294" spans="4:22" ht="13.2" x14ac:dyDescent="0.25">
      <c r="D294" s="2"/>
      <c r="E294" s="2"/>
      <c r="F294" s="2"/>
      <c r="G294" s="2"/>
      <c r="H294" s="2"/>
      <c r="I294" s="2"/>
      <c r="J294" s="2"/>
      <c r="K294" s="2"/>
      <c r="L294" s="2"/>
      <c r="M294" s="2"/>
      <c r="N294" s="2"/>
      <c r="O294" s="2"/>
      <c r="P294" s="2"/>
      <c r="Q294" s="2"/>
      <c r="R294" s="2"/>
      <c r="S294" s="2"/>
      <c r="T294" s="2"/>
      <c r="U294" s="2"/>
      <c r="V294" s="22"/>
    </row>
    <row r="295" spans="4:22" ht="13.2" x14ac:dyDescent="0.25">
      <c r="D295" s="2"/>
      <c r="E295" s="2"/>
      <c r="F295" s="2"/>
      <c r="G295" s="2"/>
      <c r="H295" s="2"/>
      <c r="I295" s="2"/>
      <c r="J295" s="2"/>
      <c r="K295" s="2"/>
      <c r="L295" s="2"/>
      <c r="M295" s="2"/>
      <c r="N295" s="2"/>
      <c r="O295" s="2"/>
      <c r="P295" s="2"/>
      <c r="Q295" s="2"/>
      <c r="R295" s="2"/>
      <c r="S295" s="2"/>
      <c r="T295" s="2"/>
      <c r="U295" s="2"/>
      <c r="V295" s="22"/>
    </row>
    <row r="296" spans="4:22" ht="13.2" x14ac:dyDescent="0.25">
      <c r="D296" s="2"/>
      <c r="E296" s="2"/>
      <c r="F296" s="2"/>
      <c r="G296" s="2"/>
      <c r="H296" s="2"/>
      <c r="I296" s="2"/>
      <c r="J296" s="2"/>
      <c r="K296" s="2"/>
      <c r="L296" s="2"/>
      <c r="M296" s="2"/>
      <c r="N296" s="2"/>
      <c r="O296" s="2"/>
      <c r="P296" s="2"/>
      <c r="Q296" s="2"/>
      <c r="R296" s="2"/>
      <c r="S296" s="2"/>
      <c r="T296" s="2"/>
      <c r="U296" s="2"/>
      <c r="V296" s="22"/>
    </row>
    <row r="297" spans="4:22" ht="13.2" x14ac:dyDescent="0.25">
      <c r="D297" s="2"/>
      <c r="E297" s="2"/>
      <c r="F297" s="2"/>
      <c r="G297" s="2"/>
      <c r="H297" s="2"/>
      <c r="I297" s="2"/>
      <c r="J297" s="2"/>
      <c r="K297" s="2"/>
      <c r="L297" s="2"/>
      <c r="M297" s="2"/>
      <c r="N297" s="2"/>
      <c r="O297" s="2"/>
      <c r="P297" s="2"/>
      <c r="Q297" s="2"/>
      <c r="R297" s="2"/>
      <c r="S297" s="2"/>
      <c r="T297" s="2"/>
      <c r="U297" s="2"/>
      <c r="V297" s="22"/>
    </row>
    <row r="298" spans="4:22" ht="13.2" x14ac:dyDescent="0.25">
      <c r="D298" s="2"/>
      <c r="E298" s="2"/>
      <c r="F298" s="2"/>
      <c r="G298" s="2"/>
      <c r="H298" s="2"/>
      <c r="I298" s="2"/>
      <c r="J298" s="2"/>
      <c r="K298" s="2"/>
      <c r="L298" s="2"/>
      <c r="M298" s="2"/>
      <c r="N298" s="2"/>
      <c r="O298" s="2"/>
      <c r="P298" s="2"/>
      <c r="Q298" s="2"/>
      <c r="R298" s="2"/>
      <c r="S298" s="2"/>
      <c r="T298" s="2"/>
      <c r="U298" s="2"/>
      <c r="V298" s="22"/>
    </row>
    <row r="299" spans="4:22" ht="13.2" x14ac:dyDescent="0.25">
      <c r="D299" s="2"/>
      <c r="E299" s="2"/>
      <c r="F299" s="2"/>
      <c r="G299" s="2"/>
      <c r="H299" s="2"/>
      <c r="I299" s="2"/>
      <c r="J299" s="2"/>
      <c r="K299" s="2"/>
      <c r="L299" s="2"/>
      <c r="M299" s="2"/>
      <c r="N299" s="2"/>
      <c r="O299" s="2"/>
      <c r="P299" s="2"/>
      <c r="Q299" s="2"/>
      <c r="R299" s="2"/>
      <c r="S299" s="2"/>
      <c r="T299" s="2"/>
      <c r="U299" s="2"/>
      <c r="V299" s="22"/>
    </row>
    <row r="300" spans="4:22" ht="13.2" x14ac:dyDescent="0.25">
      <c r="D300" s="2"/>
      <c r="E300" s="2"/>
      <c r="F300" s="2"/>
      <c r="G300" s="2"/>
      <c r="H300" s="2"/>
      <c r="I300" s="2"/>
      <c r="J300" s="2"/>
      <c r="K300" s="2"/>
      <c r="L300" s="2"/>
      <c r="M300" s="2"/>
      <c r="N300" s="2"/>
      <c r="O300" s="2"/>
      <c r="P300" s="2"/>
      <c r="Q300" s="2"/>
      <c r="R300" s="2"/>
      <c r="S300" s="2"/>
      <c r="T300" s="2"/>
      <c r="U300" s="2"/>
      <c r="V300" s="22"/>
    </row>
    <row r="301" spans="4:22" ht="13.2" x14ac:dyDescent="0.25">
      <c r="D301" s="2"/>
      <c r="E301" s="2"/>
      <c r="F301" s="2"/>
      <c r="G301" s="2"/>
      <c r="H301" s="2"/>
      <c r="I301" s="2"/>
      <c r="J301" s="2"/>
      <c r="K301" s="2"/>
      <c r="L301" s="2"/>
      <c r="M301" s="2"/>
      <c r="N301" s="2"/>
      <c r="O301" s="2"/>
      <c r="P301" s="2"/>
      <c r="Q301" s="2"/>
      <c r="R301" s="2"/>
      <c r="S301" s="2"/>
      <c r="T301" s="2"/>
      <c r="U301" s="2"/>
      <c r="V301" s="22"/>
    </row>
    <row r="302" spans="4:22" ht="13.2" x14ac:dyDescent="0.25">
      <c r="D302" s="2"/>
      <c r="E302" s="2"/>
      <c r="F302" s="2"/>
      <c r="G302" s="2"/>
      <c r="H302" s="2"/>
      <c r="I302" s="2"/>
      <c r="J302" s="2"/>
      <c r="K302" s="2"/>
      <c r="L302" s="2"/>
      <c r="M302" s="2"/>
      <c r="N302" s="2"/>
      <c r="O302" s="2"/>
      <c r="P302" s="2"/>
      <c r="Q302" s="2"/>
      <c r="R302" s="2"/>
      <c r="S302" s="2"/>
      <c r="T302" s="2"/>
      <c r="U302" s="2"/>
      <c r="V302" s="22"/>
    </row>
    <row r="303" spans="4:22" ht="13.2" x14ac:dyDescent="0.25">
      <c r="D303" s="2"/>
      <c r="E303" s="2"/>
      <c r="F303" s="2"/>
      <c r="G303" s="2"/>
      <c r="H303" s="2"/>
      <c r="I303" s="2"/>
      <c r="J303" s="2"/>
      <c r="K303" s="2"/>
      <c r="L303" s="2"/>
      <c r="M303" s="2"/>
      <c r="N303" s="2"/>
      <c r="O303" s="2"/>
      <c r="P303" s="2"/>
      <c r="Q303" s="2"/>
      <c r="R303" s="2"/>
      <c r="S303" s="2"/>
      <c r="T303" s="2"/>
      <c r="U303" s="2"/>
      <c r="V303" s="22"/>
    </row>
    <row r="304" spans="4:22" ht="13.2" x14ac:dyDescent="0.25">
      <c r="D304" s="2"/>
      <c r="E304" s="2"/>
      <c r="F304" s="2"/>
      <c r="G304" s="2"/>
      <c r="H304" s="2"/>
      <c r="I304" s="2"/>
      <c r="J304" s="2"/>
      <c r="K304" s="2"/>
      <c r="L304" s="2"/>
      <c r="M304" s="2"/>
      <c r="N304" s="2"/>
      <c r="O304" s="2"/>
      <c r="P304" s="2"/>
      <c r="Q304" s="2"/>
      <c r="R304" s="2"/>
      <c r="S304" s="2"/>
      <c r="T304" s="2"/>
      <c r="U304" s="2"/>
      <c r="V304" s="22"/>
    </row>
    <row r="305" spans="4:22" ht="13.2" x14ac:dyDescent="0.25">
      <c r="D305" s="2"/>
      <c r="E305" s="2"/>
      <c r="F305" s="2"/>
      <c r="G305" s="2"/>
      <c r="H305" s="2"/>
      <c r="I305" s="2"/>
      <c r="J305" s="2"/>
      <c r="K305" s="2"/>
      <c r="L305" s="2"/>
      <c r="M305" s="2"/>
      <c r="N305" s="2"/>
      <c r="O305" s="2"/>
      <c r="P305" s="2"/>
      <c r="Q305" s="2"/>
      <c r="R305" s="2"/>
      <c r="S305" s="2"/>
      <c r="T305" s="2"/>
      <c r="U305" s="2"/>
      <c r="V305" s="22"/>
    </row>
    <row r="306" spans="4:22" ht="13.2" x14ac:dyDescent="0.25">
      <c r="D306" s="2"/>
      <c r="E306" s="2"/>
      <c r="F306" s="2"/>
      <c r="G306" s="2"/>
      <c r="H306" s="2"/>
      <c r="I306" s="2"/>
      <c r="J306" s="2"/>
      <c r="K306" s="2"/>
      <c r="L306" s="2"/>
      <c r="M306" s="2"/>
      <c r="N306" s="2"/>
      <c r="O306" s="2"/>
      <c r="P306" s="2"/>
      <c r="Q306" s="2"/>
      <c r="R306" s="2"/>
      <c r="S306" s="2"/>
      <c r="T306" s="2"/>
      <c r="U306" s="2"/>
      <c r="V306" s="22"/>
    </row>
    <row r="307" spans="4:22" ht="13.2" x14ac:dyDescent="0.25">
      <c r="D307" s="2"/>
      <c r="E307" s="2"/>
      <c r="F307" s="2"/>
      <c r="G307" s="2"/>
      <c r="H307" s="2"/>
      <c r="I307" s="2"/>
      <c r="J307" s="2"/>
      <c r="K307" s="2"/>
      <c r="L307" s="2"/>
      <c r="M307" s="2"/>
      <c r="N307" s="2"/>
      <c r="O307" s="2"/>
      <c r="P307" s="2"/>
      <c r="Q307" s="2"/>
      <c r="R307" s="2"/>
      <c r="S307" s="2"/>
      <c r="T307" s="2"/>
      <c r="U307" s="2"/>
      <c r="V307" s="22"/>
    </row>
    <row r="308" spans="4:22" ht="13.2" x14ac:dyDescent="0.25">
      <c r="D308" s="2"/>
      <c r="E308" s="2"/>
      <c r="F308" s="2"/>
      <c r="G308" s="2"/>
      <c r="H308" s="2"/>
      <c r="I308" s="2"/>
      <c r="J308" s="2"/>
      <c r="K308" s="2"/>
      <c r="L308" s="2"/>
      <c r="M308" s="2"/>
      <c r="N308" s="2"/>
      <c r="O308" s="2"/>
      <c r="P308" s="2"/>
      <c r="Q308" s="2"/>
      <c r="R308" s="2"/>
      <c r="S308" s="2"/>
      <c r="T308" s="2"/>
      <c r="U308" s="2"/>
      <c r="V308" s="22"/>
    </row>
    <row r="309" spans="4:22" ht="13.2" x14ac:dyDescent="0.25">
      <c r="D309" s="2"/>
      <c r="E309" s="2"/>
      <c r="F309" s="2"/>
      <c r="G309" s="2"/>
      <c r="H309" s="2"/>
      <c r="I309" s="2"/>
      <c r="J309" s="2"/>
      <c r="K309" s="2"/>
      <c r="L309" s="2"/>
      <c r="M309" s="2"/>
      <c r="N309" s="2"/>
      <c r="O309" s="2"/>
      <c r="P309" s="2"/>
      <c r="Q309" s="2"/>
      <c r="R309" s="2"/>
      <c r="S309" s="2"/>
      <c r="T309" s="2"/>
      <c r="U309" s="2"/>
      <c r="V309" s="22"/>
    </row>
    <row r="310" spans="4:22" ht="13.2" x14ac:dyDescent="0.25">
      <c r="D310" s="2"/>
      <c r="E310" s="2"/>
      <c r="F310" s="2"/>
      <c r="G310" s="2"/>
      <c r="H310" s="2"/>
      <c r="I310" s="2"/>
      <c r="J310" s="2"/>
      <c r="K310" s="2"/>
      <c r="L310" s="2"/>
      <c r="M310" s="2"/>
      <c r="N310" s="2"/>
      <c r="O310" s="2"/>
      <c r="P310" s="2"/>
      <c r="Q310" s="2"/>
      <c r="R310" s="2"/>
      <c r="S310" s="2"/>
      <c r="T310" s="2"/>
      <c r="U310" s="2"/>
      <c r="V310" s="22"/>
    </row>
    <row r="311" spans="4:22" ht="13.2" x14ac:dyDescent="0.25">
      <c r="D311" s="2"/>
      <c r="E311" s="2"/>
      <c r="F311" s="2"/>
      <c r="G311" s="2"/>
      <c r="H311" s="2"/>
      <c r="I311" s="2"/>
      <c r="J311" s="2"/>
      <c r="K311" s="2"/>
      <c r="L311" s="2"/>
      <c r="M311" s="2"/>
      <c r="N311" s="2"/>
      <c r="O311" s="2"/>
      <c r="P311" s="2"/>
      <c r="Q311" s="2"/>
      <c r="R311" s="2"/>
      <c r="S311" s="2"/>
      <c r="T311" s="2"/>
      <c r="U311" s="2"/>
      <c r="V311" s="22"/>
    </row>
    <row r="312" spans="4:22" ht="13.2" x14ac:dyDescent="0.25">
      <c r="D312" s="2"/>
      <c r="E312" s="2"/>
      <c r="F312" s="2"/>
      <c r="G312" s="2"/>
      <c r="H312" s="2"/>
      <c r="I312" s="2"/>
      <c r="J312" s="2"/>
      <c r="K312" s="2"/>
      <c r="L312" s="2"/>
      <c r="M312" s="2"/>
      <c r="N312" s="2"/>
      <c r="O312" s="2"/>
      <c r="P312" s="2"/>
      <c r="Q312" s="2"/>
      <c r="R312" s="2"/>
      <c r="S312" s="2"/>
      <c r="T312" s="2"/>
      <c r="U312" s="2"/>
      <c r="V312" s="22"/>
    </row>
    <row r="313" spans="4:22" ht="13.2" x14ac:dyDescent="0.25">
      <c r="D313" s="2"/>
      <c r="E313" s="2"/>
      <c r="F313" s="2"/>
      <c r="G313" s="2"/>
      <c r="H313" s="2"/>
      <c r="I313" s="2"/>
      <c r="J313" s="2"/>
      <c r="K313" s="2"/>
      <c r="L313" s="2"/>
      <c r="M313" s="2"/>
      <c r="N313" s="2"/>
      <c r="O313" s="2"/>
      <c r="P313" s="2"/>
      <c r="Q313" s="2"/>
      <c r="R313" s="2"/>
      <c r="S313" s="2"/>
      <c r="T313" s="2"/>
      <c r="U313" s="2"/>
      <c r="V313" s="22"/>
    </row>
    <row r="314" spans="4:22" ht="13.2" x14ac:dyDescent="0.25">
      <c r="D314" s="2"/>
      <c r="E314" s="2"/>
      <c r="F314" s="2"/>
      <c r="G314" s="2"/>
      <c r="H314" s="2"/>
      <c r="I314" s="2"/>
      <c r="J314" s="2"/>
      <c r="K314" s="2"/>
      <c r="L314" s="2"/>
      <c r="M314" s="2"/>
      <c r="N314" s="2"/>
      <c r="O314" s="2"/>
      <c r="P314" s="2"/>
      <c r="Q314" s="2"/>
      <c r="R314" s="2"/>
      <c r="S314" s="2"/>
      <c r="T314" s="2"/>
      <c r="U314" s="2"/>
      <c r="V314" s="22"/>
    </row>
    <row r="315" spans="4:22" ht="13.2" x14ac:dyDescent="0.25">
      <c r="D315" s="2"/>
      <c r="E315" s="2"/>
      <c r="F315" s="2"/>
      <c r="G315" s="2"/>
      <c r="H315" s="2"/>
      <c r="I315" s="2"/>
      <c r="J315" s="2"/>
      <c r="K315" s="2"/>
      <c r="L315" s="2"/>
      <c r="M315" s="2"/>
      <c r="N315" s="2"/>
      <c r="O315" s="2"/>
      <c r="P315" s="2"/>
      <c r="Q315" s="2"/>
      <c r="R315" s="2"/>
      <c r="S315" s="2"/>
      <c r="T315" s="2"/>
      <c r="U315" s="2"/>
      <c r="V315" s="22"/>
    </row>
    <row r="316" spans="4:22" ht="13.2" x14ac:dyDescent="0.25">
      <c r="D316" s="2"/>
      <c r="E316" s="2"/>
      <c r="F316" s="2"/>
      <c r="G316" s="2"/>
      <c r="H316" s="2"/>
      <c r="I316" s="2"/>
      <c r="J316" s="2"/>
      <c r="K316" s="2"/>
      <c r="L316" s="2"/>
      <c r="M316" s="2"/>
      <c r="N316" s="2"/>
      <c r="O316" s="2"/>
      <c r="P316" s="2"/>
      <c r="Q316" s="2"/>
      <c r="R316" s="2"/>
      <c r="S316" s="2"/>
      <c r="T316" s="2"/>
      <c r="U316" s="2"/>
      <c r="V316" s="22"/>
    </row>
    <row r="317" spans="4:22" ht="13.2" x14ac:dyDescent="0.25">
      <c r="D317" s="2"/>
      <c r="E317" s="2"/>
      <c r="F317" s="2"/>
      <c r="G317" s="2"/>
      <c r="H317" s="2"/>
      <c r="I317" s="2"/>
      <c r="J317" s="2"/>
      <c r="K317" s="2"/>
      <c r="L317" s="2"/>
      <c r="M317" s="2"/>
      <c r="N317" s="2"/>
      <c r="O317" s="2"/>
      <c r="P317" s="2"/>
      <c r="Q317" s="2"/>
      <c r="R317" s="2"/>
      <c r="S317" s="2"/>
      <c r="T317" s="2"/>
      <c r="U317" s="2"/>
      <c r="V317" s="22"/>
    </row>
    <row r="318" spans="4:22" ht="13.2" x14ac:dyDescent="0.25">
      <c r="D318" s="2"/>
      <c r="E318" s="2"/>
      <c r="F318" s="2"/>
      <c r="G318" s="2"/>
      <c r="H318" s="2"/>
      <c r="I318" s="2"/>
      <c r="J318" s="2"/>
      <c r="K318" s="2"/>
      <c r="L318" s="2"/>
      <c r="M318" s="2"/>
      <c r="N318" s="2"/>
      <c r="O318" s="2"/>
      <c r="P318" s="2"/>
      <c r="Q318" s="2"/>
      <c r="R318" s="2"/>
      <c r="S318" s="2"/>
      <c r="T318" s="2"/>
      <c r="U318" s="2"/>
      <c r="V318" s="22"/>
    </row>
    <row r="319" spans="4:22" ht="13.2" x14ac:dyDescent="0.25">
      <c r="D319" s="2"/>
      <c r="E319" s="2"/>
      <c r="F319" s="2"/>
      <c r="G319" s="2"/>
      <c r="H319" s="2"/>
      <c r="I319" s="2"/>
      <c r="J319" s="2"/>
      <c r="K319" s="2"/>
      <c r="L319" s="2"/>
      <c r="M319" s="2"/>
      <c r="N319" s="2"/>
      <c r="O319" s="2"/>
      <c r="P319" s="2"/>
      <c r="Q319" s="2"/>
      <c r="R319" s="2"/>
      <c r="S319" s="2"/>
      <c r="T319" s="2"/>
      <c r="U319" s="2"/>
      <c r="V319" s="22"/>
    </row>
    <row r="320" spans="4:22" ht="13.2" x14ac:dyDescent="0.25">
      <c r="D320" s="2"/>
      <c r="E320" s="2"/>
      <c r="F320" s="2"/>
      <c r="G320" s="2"/>
      <c r="H320" s="2"/>
      <c r="I320" s="2"/>
      <c r="J320" s="2"/>
      <c r="K320" s="2"/>
      <c r="L320" s="2"/>
      <c r="M320" s="2"/>
      <c r="N320" s="2"/>
      <c r="O320" s="2"/>
      <c r="P320" s="2"/>
      <c r="Q320" s="2"/>
      <c r="R320" s="2"/>
      <c r="S320" s="2"/>
      <c r="T320" s="2"/>
      <c r="U320" s="2"/>
      <c r="V320" s="22"/>
    </row>
    <row r="321" spans="4:22" ht="13.2" x14ac:dyDescent="0.25">
      <c r="D321" s="2"/>
      <c r="E321" s="2"/>
      <c r="F321" s="2"/>
      <c r="G321" s="2"/>
      <c r="H321" s="2"/>
      <c r="I321" s="2"/>
      <c r="J321" s="2"/>
      <c r="K321" s="2"/>
      <c r="L321" s="2"/>
      <c r="M321" s="2"/>
      <c r="N321" s="2"/>
      <c r="O321" s="2"/>
      <c r="P321" s="2"/>
      <c r="Q321" s="2"/>
      <c r="R321" s="2"/>
      <c r="S321" s="2"/>
      <c r="T321" s="2"/>
      <c r="U321" s="2"/>
      <c r="V321" s="22"/>
    </row>
    <row r="322" spans="4:22" ht="13.2" x14ac:dyDescent="0.25">
      <c r="D322" s="2"/>
      <c r="E322" s="2"/>
      <c r="F322" s="2"/>
      <c r="G322" s="2"/>
      <c r="H322" s="2"/>
      <c r="I322" s="2"/>
      <c r="J322" s="2"/>
      <c r="K322" s="2"/>
      <c r="L322" s="2"/>
      <c r="M322" s="2"/>
      <c r="N322" s="2"/>
      <c r="O322" s="2"/>
      <c r="P322" s="2"/>
      <c r="Q322" s="2"/>
      <c r="R322" s="2"/>
      <c r="S322" s="2"/>
      <c r="T322" s="2"/>
      <c r="U322" s="2"/>
      <c r="V322" s="22"/>
    </row>
    <row r="323" spans="4:22" ht="13.2" x14ac:dyDescent="0.25">
      <c r="D323" s="2"/>
      <c r="E323" s="2"/>
      <c r="F323" s="2"/>
      <c r="G323" s="2"/>
      <c r="H323" s="2"/>
      <c r="I323" s="2"/>
      <c r="J323" s="2"/>
      <c r="K323" s="2"/>
      <c r="L323" s="2"/>
      <c r="M323" s="2"/>
      <c r="N323" s="2"/>
      <c r="O323" s="2"/>
      <c r="P323" s="2"/>
      <c r="Q323" s="2"/>
      <c r="R323" s="2"/>
      <c r="S323" s="2"/>
      <c r="T323" s="2"/>
      <c r="U323" s="2"/>
      <c r="V323" s="22"/>
    </row>
    <row r="324" spans="4:22" ht="13.2" x14ac:dyDescent="0.25">
      <c r="D324" s="2"/>
      <c r="E324" s="2"/>
      <c r="F324" s="2"/>
      <c r="G324" s="2"/>
      <c r="H324" s="2"/>
      <c r="I324" s="2"/>
      <c r="J324" s="2"/>
      <c r="K324" s="2"/>
      <c r="L324" s="2"/>
      <c r="M324" s="2"/>
      <c r="N324" s="2"/>
      <c r="O324" s="2"/>
      <c r="P324" s="2"/>
      <c r="Q324" s="2"/>
      <c r="R324" s="2"/>
      <c r="S324" s="2"/>
      <c r="T324" s="2"/>
      <c r="U324" s="2"/>
      <c r="V324" s="22"/>
    </row>
    <row r="325" spans="4:22" ht="13.2" x14ac:dyDescent="0.25">
      <c r="D325" s="2"/>
      <c r="E325" s="2"/>
      <c r="F325" s="2"/>
      <c r="G325" s="2"/>
      <c r="H325" s="2"/>
      <c r="I325" s="2"/>
      <c r="J325" s="2"/>
      <c r="K325" s="2"/>
      <c r="L325" s="2"/>
      <c r="M325" s="2"/>
      <c r="N325" s="2"/>
      <c r="O325" s="2"/>
      <c r="P325" s="2"/>
      <c r="Q325" s="2"/>
      <c r="R325" s="2"/>
      <c r="S325" s="2"/>
      <c r="T325" s="2"/>
      <c r="U325" s="2"/>
      <c r="V325" s="22"/>
    </row>
    <row r="326" spans="4:22" ht="13.2" x14ac:dyDescent="0.25">
      <c r="D326" s="2"/>
      <c r="E326" s="2"/>
      <c r="F326" s="2"/>
      <c r="G326" s="2"/>
      <c r="H326" s="2"/>
      <c r="I326" s="2"/>
      <c r="J326" s="2"/>
      <c r="K326" s="2"/>
      <c r="L326" s="2"/>
      <c r="M326" s="2"/>
      <c r="N326" s="2"/>
      <c r="O326" s="2"/>
      <c r="P326" s="2"/>
      <c r="Q326" s="2"/>
      <c r="R326" s="2"/>
      <c r="S326" s="2"/>
      <c r="T326" s="2"/>
      <c r="U326" s="2"/>
      <c r="V326" s="22"/>
    </row>
    <row r="327" spans="4:22" ht="13.2" x14ac:dyDescent="0.25">
      <c r="D327" s="2"/>
      <c r="E327" s="2"/>
      <c r="F327" s="2"/>
      <c r="G327" s="2"/>
      <c r="H327" s="2"/>
      <c r="I327" s="2"/>
      <c r="J327" s="2"/>
      <c r="K327" s="2"/>
      <c r="L327" s="2"/>
      <c r="M327" s="2"/>
      <c r="N327" s="2"/>
      <c r="O327" s="2"/>
      <c r="P327" s="2"/>
      <c r="Q327" s="2"/>
      <c r="R327" s="2"/>
      <c r="S327" s="2"/>
      <c r="T327" s="2"/>
      <c r="U327" s="2"/>
      <c r="V327" s="22"/>
    </row>
    <row r="328" spans="4:22" ht="13.2" x14ac:dyDescent="0.25">
      <c r="D328" s="2"/>
      <c r="E328" s="2"/>
      <c r="F328" s="2"/>
      <c r="G328" s="2"/>
      <c r="H328" s="2"/>
      <c r="I328" s="2"/>
      <c r="J328" s="2"/>
      <c r="K328" s="2"/>
      <c r="L328" s="2"/>
      <c r="M328" s="2"/>
      <c r="N328" s="2"/>
      <c r="O328" s="2"/>
      <c r="P328" s="2"/>
      <c r="Q328" s="2"/>
      <c r="R328" s="2"/>
      <c r="S328" s="2"/>
      <c r="T328" s="2"/>
      <c r="U328" s="2"/>
      <c r="V328" s="22"/>
    </row>
    <row r="329" spans="4:22" ht="13.2" x14ac:dyDescent="0.25">
      <c r="D329" s="2"/>
      <c r="E329" s="2"/>
      <c r="F329" s="2"/>
      <c r="G329" s="2"/>
      <c r="H329" s="2"/>
      <c r="I329" s="2"/>
      <c r="J329" s="2"/>
      <c r="K329" s="2"/>
      <c r="L329" s="2"/>
      <c r="M329" s="2"/>
      <c r="N329" s="2"/>
      <c r="O329" s="2"/>
      <c r="P329" s="2"/>
      <c r="Q329" s="2"/>
      <c r="R329" s="2"/>
      <c r="S329" s="2"/>
      <c r="T329" s="2"/>
      <c r="U329" s="2"/>
      <c r="V329" s="22"/>
    </row>
    <row r="330" spans="4:22" ht="13.2" x14ac:dyDescent="0.25">
      <c r="D330" s="2"/>
      <c r="E330" s="2"/>
      <c r="F330" s="2"/>
      <c r="G330" s="2"/>
      <c r="H330" s="2"/>
      <c r="I330" s="2"/>
      <c r="J330" s="2"/>
      <c r="K330" s="2"/>
      <c r="L330" s="2"/>
      <c r="M330" s="2"/>
      <c r="N330" s="2"/>
      <c r="O330" s="2"/>
      <c r="P330" s="2"/>
      <c r="Q330" s="2"/>
      <c r="R330" s="2"/>
      <c r="S330" s="2"/>
      <c r="T330" s="2"/>
      <c r="U330" s="2"/>
      <c r="V330" s="22"/>
    </row>
    <row r="331" spans="4:22" ht="13.2" x14ac:dyDescent="0.25">
      <c r="D331" s="2"/>
      <c r="E331" s="2"/>
      <c r="F331" s="2"/>
      <c r="G331" s="2"/>
      <c r="H331" s="2"/>
      <c r="I331" s="2"/>
      <c r="J331" s="2"/>
      <c r="K331" s="2"/>
      <c r="L331" s="2"/>
      <c r="M331" s="2"/>
      <c r="N331" s="2"/>
      <c r="O331" s="2"/>
      <c r="P331" s="2"/>
      <c r="Q331" s="2"/>
      <c r="R331" s="2"/>
      <c r="S331" s="2"/>
      <c r="T331" s="2"/>
      <c r="U331" s="2"/>
      <c r="V331" s="22"/>
    </row>
    <row r="332" spans="4:22" ht="13.2" x14ac:dyDescent="0.25">
      <c r="D332" s="2"/>
      <c r="E332" s="2"/>
      <c r="F332" s="2"/>
      <c r="G332" s="2"/>
      <c r="H332" s="2"/>
      <c r="I332" s="2"/>
      <c r="J332" s="2"/>
      <c r="K332" s="2"/>
      <c r="L332" s="2"/>
      <c r="M332" s="2"/>
      <c r="N332" s="2"/>
      <c r="O332" s="2"/>
      <c r="P332" s="2"/>
      <c r="Q332" s="2"/>
      <c r="R332" s="2"/>
      <c r="S332" s="2"/>
      <c r="T332" s="2"/>
      <c r="U332" s="2"/>
      <c r="V332" s="22"/>
    </row>
    <row r="333" spans="4:22" ht="13.2" x14ac:dyDescent="0.25">
      <c r="D333" s="2"/>
      <c r="E333" s="2"/>
      <c r="F333" s="2"/>
      <c r="G333" s="2"/>
      <c r="H333" s="2"/>
      <c r="I333" s="2"/>
      <c r="J333" s="2"/>
      <c r="K333" s="2"/>
      <c r="L333" s="2"/>
      <c r="M333" s="2"/>
      <c r="N333" s="2"/>
      <c r="O333" s="2"/>
      <c r="P333" s="2"/>
      <c r="Q333" s="2"/>
      <c r="R333" s="2"/>
      <c r="S333" s="2"/>
      <c r="T333" s="2"/>
      <c r="U333" s="2"/>
      <c r="V333" s="22"/>
    </row>
    <row r="334" spans="4:22" ht="13.2" x14ac:dyDescent="0.25">
      <c r="D334" s="2"/>
      <c r="E334" s="2"/>
      <c r="F334" s="2"/>
      <c r="G334" s="2"/>
      <c r="H334" s="2"/>
      <c r="I334" s="2"/>
      <c r="J334" s="2"/>
      <c r="K334" s="2"/>
      <c r="L334" s="2"/>
      <c r="M334" s="2"/>
      <c r="N334" s="2"/>
      <c r="O334" s="2"/>
      <c r="P334" s="2"/>
      <c r="Q334" s="2"/>
      <c r="R334" s="2"/>
      <c r="S334" s="2"/>
      <c r="T334" s="2"/>
      <c r="U334" s="2"/>
      <c r="V334" s="22"/>
    </row>
    <row r="335" spans="4:22" ht="13.2" x14ac:dyDescent="0.25">
      <c r="D335" s="2"/>
      <c r="E335" s="2"/>
      <c r="F335" s="2"/>
      <c r="G335" s="2"/>
      <c r="H335" s="2"/>
      <c r="I335" s="2"/>
      <c r="J335" s="2"/>
      <c r="K335" s="2"/>
      <c r="L335" s="2"/>
      <c r="M335" s="2"/>
      <c r="N335" s="2"/>
      <c r="O335" s="2"/>
      <c r="P335" s="2"/>
      <c r="Q335" s="2"/>
      <c r="R335" s="2"/>
      <c r="S335" s="2"/>
      <c r="T335" s="2"/>
      <c r="U335" s="2"/>
      <c r="V335" s="22"/>
    </row>
    <row r="336" spans="4:22" ht="13.2" x14ac:dyDescent="0.25">
      <c r="D336" s="2"/>
      <c r="E336" s="2"/>
      <c r="F336" s="2"/>
      <c r="G336" s="2"/>
      <c r="H336" s="2"/>
      <c r="I336" s="2"/>
      <c r="J336" s="2"/>
      <c r="K336" s="2"/>
      <c r="L336" s="2"/>
      <c r="M336" s="2"/>
      <c r="N336" s="2"/>
      <c r="O336" s="2"/>
      <c r="P336" s="2"/>
      <c r="Q336" s="2"/>
      <c r="R336" s="2"/>
      <c r="S336" s="2"/>
      <c r="T336" s="2"/>
      <c r="U336" s="2"/>
      <c r="V336" s="22"/>
    </row>
    <row r="337" spans="4:22" ht="13.2" x14ac:dyDescent="0.25">
      <c r="D337" s="2"/>
      <c r="E337" s="2"/>
      <c r="F337" s="2"/>
      <c r="G337" s="2"/>
      <c r="H337" s="2"/>
      <c r="I337" s="2"/>
      <c r="J337" s="2"/>
      <c r="K337" s="2"/>
      <c r="L337" s="2"/>
      <c r="M337" s="2"/>
      <c r="N337" s="2"/>
      <c r="O337" s="2"/>
      <c r="P337" s="2"/>
      <c r="Q337" s="2"/>
      <c r="R337" s="2"/>
      <c r="S337" s="2"/>
      <c r="T337" s="2"/>
      <c r="U337" s="2"/>
      <c r="V337" s="22"/>
    </row>
    <row r="338" spans="4:22" ht="13.2" x14ac:dyDescent="0.25">
      <c r="D338" s="2"/>
      <c r="E338" s="2"/>
      <c r="F338" s="2"/>
      <c r="G338" s="2"/>
      <c r="H338" s="2"/>
      <c r="I338" s="2"/>
      <c r="J338" s="2"/>
      <c r="K338" s="2"/>
      <c r="L338" s="2"/>
      <c r="M338" s="2"/>
      <c r="N338" s="2"/>
      <c r="O338" s="2"/>
      <c r="P338" s="2"/>
      <c r="Q338" s="2"/>
      <c r="R338" s="2"/>
      <c r="S338" s="2"/>
      <c r="T338" s="2"/>
      <c r="U338" s="2"/>
      <c r="V338" s="22"/>
    </row>
    <row r="339" spans="4:22" ht="13.2" x14ac:dyDescent="0.25">
      <c r="D339" s="2"/>
      <c r="E339" s="2"/>
      <c r="F339" s="2"/>
      <c r="G339" s="2"/>
      <c r="H339" s="2"/>
      <c r="I339" s="2"/>
      <c r="J339" s="2"/>
      <c r="K339" s="2"/>
      <c r="L339" s="2"/>
      <c r="M339" s="2"/>
      <c r="N339" s="2"/>
      <c r="O339" s="2"/>
      <c r="P339" s="2"/>
      <c r="Q339" s="2"/>
      <c r="R339" s="2"/>
      <c r="S339" s="2"/>
      <c r="T339" s="2"/>
      <c r="U339" s="2"/>
      <c r="V339" s="22"/>
    </row>
    <row r="340" spans="4:22" ht="13.2" x14ac:dyDescent="0.25">
      <c r="D340" s="2"/>
      <c r="E340" s="2"/>
      <c r="F340" s="2"/>
      <c r="G340" s="2"/>
      <c r="H340" s="2"/>
      <c r="I340" s="2"/>
      <c r="J340" s="2"/>
      <c r="K340" s="2"/>
      <c r="L340" s="2"/>
      <c r="M340" s="2"/>
      <c r="N340" s="2"/>
      <c r="O340" s="2"/>
      <c r="P340" s="2"/>
      <c r="Q340" s="2"/>
      <c r="R340" s="2"/>
      <c r="S340" s="2"/>
      <c r="T340" s="2"/>
      <c r="U340" s="2"/>
      <c r="V340" s="22"/>
    </row>
    <row r="341" spans="4:22" ht="13.2" x14ac:dyDescent="0.25">
      <c r="D341" s="2"/>
      <c r="E341" s="2"/>
      <c r="F341" s="2"/>
      <c r="G341" s="2"/>
      <c r="H341" s="2"/>
      <c r="I341" s="2"/>
      <c r="J341" s="2"/>
      <c r="K341" s="2"/>
      <c r="L341" s="2"/>
      <c r="M341" s="2"/>
      <c r="N341" s="2"/>
      <c r="O341" s="2"/>
      <c r="P341" s="2"/>
      <c r="Q341" s="2"/>
      <c r="R341" s="2"/>
      <c r="S341" s="2"/>
      <c r="T341" s="2"/>
      <c r="U341" s="2"/>
      <c r="V341" s="22"/>
    </row>
    <row r="342" spans="4:22" ht="13.2" x14ac:dyDescent="0.25">
      <c r="D342" s="2"/>
      <c r="E342" s="2"/>
      <c r="F342" s="2"/>
      <c r="G342" s="2"/>
      <c r="H342" s="2"/>
      <c r="I342" s="2"/>
      <c r="J342" s="2"/>
      <c r="K342" s="2"/>
      <c r="L342" s="2"/>
      <c r="M342" s="2"/>
      <c r="N342" s="2"/>
      <c r="O342" s="2"/>
      <c r="P342" s="2"/>
      <c r="Q342" s="2"/>
      <c r="R342" s="2"/>
      <c r="S342" s="2"/>
      <c r="T342" s="2"/>
      <c r="U342" s="2"/>
      <c r="V342" s="22"/>
    </row>
    <row r="343" spans="4:22" ht="13.2" x14ac:dyDescent="0.25">
      <c r="D343" s="2"/>
      <c r="E343" s="2"/>
      <c r="F343" s="2"/>
      <c r="G343" s="2"/>
      <c r="H343" s="2"/>
      <c r="I343" s="2"/>
      <c r="J343" s="2"/>
      <c r="K343" s="2"/>
      <c r="L343" s="2"/>
      <c r="M343" s="2"/>
      <c r="N343" s="2"/>
      <c r="O343" s="2"/>
      <c r="P343" s="2"/>
      <c r="Q343" s="2"/>
      <c r="R343" s="2"/>
      <c r="S343" s="2"/>
      <c r="T343" s="2"/>
      <c r="U343" s="2"/>
      <c r="V343" s="22"/>
    </row>
    <row r="344" spans="4:22" ht="13.2" x14ac:dyDescent="0.25">
      <c r="D344" s="2"/>
      <c r="E344" s="2"/>
      <c r="F344" s="2"/>
      <c r="G344" s="2"/>
      <c r="H344" s="2"/>
      <c r="I344" s="2"/>
      <c r="J344" s="2"/>
      <c r="K344" s="2"/>
      <c r="L344" s="2"/>
      <c r="M344" s="2"/>
      <c r="N344" s="2"/>
      <c r="O344" s="2"/>
      <c r="P344" s="2"/>
      <c r="Q344" s="2"/>
      <c r="R344" s="2"/>
      <c r="S344" s="2"/>
      <c r="T344" s="2"/>
      <c r="U344" s="2"/>
      <c r="V344" s="22"/>
    </row>
    <row r="345" spans="4:22" ht="13.2" x14ac:dyDescent="0.25">
      <c r="D345" s="2"/>
      <c r="E345" s="2"/>
      <c r="F345" s="2"/>
      <c r="G345" s="2"/>
      <c r="H345" s="2"/>
      <c r="I345" s="2"/>
      <c r="J345" s="2"/>
      <c r="K345" s="2"/>
      <c r="L345" s="2"/>
      <c r="M345" s="2"/>
      <c r="N345" s="2"/>
      <c r="O345" s="2"/>
      <c r="P345" s="2"/>
      <c r="Q345" s="2"/>
      <c r="R345" s="2"/>
      <c r="S345" s="2"/>
      <c r="T345" s="2"/>
      <c r="U345" s="2"/>
      <c r="V345" s="22"/>
    </row>
    <row r="346" spans="4:22" ht="13.2" x14ac:dyDescent="0.25">
      <c r="D346" s="2"/>
      <c r="E346" s="2"/>
      <c r="F346" s="2"/>
      <c r="G346" s="2"/>
      <c r="H346" s="2"/>
      <c r="I346" s="2"/>
      <c r="J346" s="2"/>
      <c r="K346" s="2"/>
      <c r="L346" s="2"/>
      <c r="M346" s="2"/>
      <c r="N346" s="2"/>
      <c r="O346" s="2"/>
      <c r="P346" s="2"/>
      <c r="Q346" s="2"/>
      <c r="R346" s="2"/>
      <c r="S346" s="2"/>
      <c r="T346" s="2"/>
      <c r="U346" s="2"/>
      <c r="V346" s="22"/>
    </row>
    <row r="347" spans="4:22" ht="13.2" x14ac:dyDescent="0.25">
      <c r="D347" s="2"/>
      <c r="E347" s="2"/>
      <c r="F347" s="2"/>
      <c r="G347" s="2"/>
      <c r="H347" s="2"/>
      <c r="I347" s="2"/>
      <c r="J347" s="2"/>
      <c r="K347" s="2"/>
      <c r="L347" s="2"/>
      <c r="M347" s="2"/>
      <c r="N347" s="2"/>
      <c r="O347" s="2"/>
      <c r="P347" s="2"/>
      <c r="Q347" s="2"/>
      <c r="R347" s="2"/>
      <c r="S347" s="2"/>
      <c r="T347" s="2"/>
      <c r="U347" s="2"/>
      <c r="V347" s="22"/>
    </row>
    <row r="348" spans="4:22" ht="13.2" x14ac:dyDescent="0.25">
      <c r="D348" s="2"/>
      <c r="E348" s="2"/>
      <c r="F348" s="2"/>
      <c r="G348" s="2"/>
      <c r="H348" s="2"/>
      <c r="I348" s="2"/>
      <c r="J348" s="2"/>
      <c r="K348" s="2"/>
      <c r="L348" s="2"/>
      <c r="M348" s="2"/>
      <c r="N348" s="2"/>
      <c r="O348" s="2"/>
      <c r="P348" s="2"/>
      <c r="Q348" s="2"/>
      <c r="R348" s="2"/>
      <c r="S348" s="2"/>
      <c r="T348" s="2"/>
      <c r="U348" s="2"/>
      <c r="V348" s="22"/>
    </row>
    <row r="349" spans="4:22" ht="13.2" x14ac:dyDescent="0.25">
      <c r="D349" s="2"/>
      <c r="E349" s="2"/>
      <c r="F349" s="2"/>
      <c r="G349" s="2"/>
      <c r="H349" s="2"/>
      <c r="I349" s="2"/>
      <c r="J349" s="2"/>
      <c r="K349" s="2"/>
      <c r="L349" s="2"/>
      <c r="M349" s="2"/>
      <c r="N349" s="2"/>
      <c r="O349" s="2"/>
      <c r="P349" s="2"/>
      <c r="Q349" s="2"/>
      <c r="R349" s="2"/>
      <c r="S349" s="2"/>
      <c r="T349" s="2"/>
      <c r="U349" s="2"/>
      <c r="V349" s="22"/>
    </row>
    <row r="350" spans="4:22" ht="13.2" x14ac:dyDescent="0.25">
      <c r="D350" s="2"/>
      <c r="E350" s="2"/>
      <c r="F350" s="2"/>
      <c r="G350" s="2"/>
      <c r="H350" s="2"/>
      <c r="I350" s="2"/>
      <c r="J350" s="2"/>
      <c r="K350" s="2"/>
      <c r="L350" s="2"/>
      <c r="M350" s="2"/>
      <c r="N350" s="2"/>
      <c r="O350" s="2"/>
      <c r="P350" s="2"/>
      <c r="Q350" s="2"/>
      <c r="R350" s="2"/>
      <c r="S350" s="2"/>
      <c r="T350" s="2"/>
      <c r="U350" s="2"/>
      <c r="V350" s="22"/>
    </row>
    <row r="351" spans="4:22" ht="13.2" x14ac:dyDescent="0.25">
      <c r="D351" s="2"/>
      <c r="E351" s="2"/>
      <c r="F351" s="2"/>
      <c r="G351" s="2"/>
      <c r="H351" s="2"/>
      <c r="I351" s="2"/>
      <c r="J351" s="2"/>
      <c r="K351" s="2"/>
      <c r="L351" s="2"/>
      <c r="M351" s="2"/>
      <c r="N351" s="2"/>
      <c r="O351" s="2"/>
      <c r="P351" s="2"/>
      <c r="Q351" s="2"/>
      <c r="R351" s="2"/>
      <c r="S351" s="2"/>
      <c r="T351" s="2"/>
      <c r="U351" s="2"/>
      <c r="V351" s="22"/>
    </row>
    <row r="352" spans="4:22" ht="13.2" x14ac:dyDescent="0.25">
      <c r="D352" s="2"/>
      <c r="E352" s="2"/>
      <c r="F352" s="2"/>
      <c r="G352" s="2"/>
      <c r="H352" s="2"/>
      <c r="I352" s="2"/>
      <c r="J352" s="2"/>
      <c r="K352" s="2"/>
      <c r="L352" s="2"/>
      <c r="M352" s="2"/>
      <c r="N352" s="2"/>
      <c r="O352" s="2"/>
      <c r="P352" s="2"/>
      <c r="Q352" s="2"/>
      <c r="R352" s="2"/>
      <c r="S352" s="2"/>
      <c r="T352" s="2"/>
      <c r="U352" s="2"/>
      <c r="V352" s="22"/>
    </row>
    <row r="353" spans="4:22" ht="13.2" x14ac:dyDescent="0.25">
      <c r="D353" s="2"/>
      <c r="E353" s="2"/>
      <c r="F353" s="2"/>
      <c r="G353" s="2"/>
      <c r="H353" s="2"/>
      <c r="I353" s="2"/>
      <c r="J353" s="2"/>
      <c r="K353" s="2"/>
      <c r="L353" s="2"/>
      <c r="M353" s="2"/>
      <c r="N353" s="2"/>
      <c r="O353" s="2"/>
      <c r="P353" s="2"/>
      <c r="Q353" s="2"/>
      <c r="R353" s="2"/>
      <c r="S353" s="2"/>
      <c r="T353" s="2"/>
      <c r="U353" s="2"/>
      <c r="V353" s="22"/>
    </row>
    <row r="354" spans="4:22" ht="13.2" x14ac:dyDescent="0.25">
      <c r="D354" s="2"/>
      <c r="E354" s="2"/>
      <c r="F354" s="2"/>
      <c r="G354" s="2"/>
      <c r="H354" s="2"/>
      <c r="I354" s="2"/>
      <c r="J354" s="2"/>
      <c r="K354" s="2"/>
      <c r="L354" s="2"/>
      <c r="M354" s="2"/>
      <c r="N354" s="2"/>
      <c r="O354" s="2"/>
      <c r="P354" s="2"/>
      <c r="Q354" s="2"/>
      <c r="R354" s="2"/>
      <c r="S354" s="2"/>
      <c r="T354" s="2"/>
      <c r="U354" s="2"/>
      <c r="V354" s="22"/>
    </row>
    <row r="355" spans="4:22" ht="13.2" x14ac:dyDescent="0.25">
      <c r="D355" s="2"/>
      <c r="E355" s="2"/>
      <c r="F355" s="2"/>
      <c r="G355" s="2"/>
      <c r="H355" s="2"/>
      <c r="I355" s="2"/>
      <c r="J355" s="2"/>
      <c r="K355" s="2"/>
      <c r="L355" s="2"/>
      <c r="M355" s="2"/>
      <c r="N355" s="2"/>
      <c r="O355" s="2"/>
      <c r="P355" s="2"/>
      <c r="Q355" s="2"/>
      <c r="R355" s="2"/>
      <c r="S355" s="2"/>
      <c r="T355" s="2"/>
      <c r="U355" s="2"/>
      <c r="V355" s="22"/>
    </row>
    <row r="356" spans="4:22" ht="13.2" x14ac:dyDescent="0.25">
      <c r="D356" s="2"/>
      <c r="E356" s="2"/>
      <c r="F356" s="2"/>
      <c r="G356" s="2"/>
      <c r="H356" s="2"/>
      <c r="I356" s="2"/>
      <c r="J356" s="2"/>
      <c r="K356" s="2"/>
      <c r="L356" s="2"/>
      <c r="M356" s="2"/>
      <c r="N356" s="2"/>
      <c r="O356" s="2"/>
      <c r="P356" s="2"/>
      <c r="Q356" s="2"/>
      <c r="R356" s="2"/>
      <c r="S356" s="2"/>
      <c r="T356" s="2"/>
      <c r="U356" s="2"/>
      <c r="V356" s="22"/>
    </row>
    <row r="357" spans="4:22" ht="13.2" x14ac:dyDescent="0.25">
      <c r="D357" s="2"/>
      <c r="E357" s="2"/>
      <c r="F357" s="2"/>
      <c r="G357" s="2"/>
      <c r="H357" s="2"/>
      <c r="I357" s="2"/>
      <c r="J357" s="2"/>
      <c r="K357" s="2"/>
      <c r="L357" s="2"/>
      <c r="M357" s="2"/>
      <c r="N357" s="2"/>
      <c r="O357" s="2"/>
      <c r="P357" s="2"/>
      <c r="Q357" s="2"/>
      <c r="R357" s="2"/>
      <c r="S357" s="2"/>
      <c r="T357" s="2"/>
      <c r="U357" s="2"/>
      <c r="V357" s="22"/>
    </row>
    <row r="358" spans="4:22" ht="13.2" x14ac:dyDescent="0.25">
      <c r="D358" s="2"/>
      <c r="E358" s="2"/>
      <c r="F358" s="2"/>
      <c r="G358" s="2"/>
      <c r="H358" s="2"/>
      <c r="I358" s="2"/>
      <c r="J358" s="2"/>
      <c r="K358" s="2"/>
      <c r="L358" s="2"/>
      <c r="M358" s="2"/>
      <c r="N358" s="2"/>
      <c r="O358" s="2"/>
      <c r="P358" s="2"/>
      <c r="Q358" s="2"/>
      <c r="R358" s="2"/>
      <c r="S358" s="2"/>
      <c r="T358" s="2"/>
      <c r="U358" s="2"/>
      <c r="V358" s="22"/>
    </row>
    <row r="359" spans="4:22" ht="13.2" x14ac:dyDescent="0.25">
      <c r="D359" s="2"/>
      <c r="E359" s="2"/>
      <c r="F359" s="2"/>
      <c r="G359" s="2"/>
      <c r="H359" s="2"/>
      <c r="I359" s="2"/>
      <c r="J359" s="2"/>
      <c r="K359" s="2"/>
      <c r="L359" s="2"/>
      <c r="M359" s="2"/>
      <c r="N359" s="2"/>
      <c r="O359" s="2"/>
      <c r="P359" s="2"/>
      <c r="Q359" s="2"/>
      <c r="R359" s="2"/>
      <c r="S359" s="2"/>
      <c r="T359" s="2"/>
      <c r="U359" s="2"/>
      <c r="V359" s="22"/>
    </row>
    <row r="360" spans="4:22" ht="13.2" x14ac:dyDescent="0.25">
      <c r="D360" s="2"/>
      <c r="E360" s="2"/>
      <c r="F360" s="2"/>
      <c r="G360" s="2"/>
      <c r="H360" s="2"/>
      <c r="I360" s="2"/>
      <c r="J360" s="2"/>
      <c r="K360" s="2"/>
      <c r="L360" s="2"/>
      <c r="M360" s="2"/>
      <c r="N360" s="2"/>
      <c r="O360" s="2"/>
      <c r="P360" s="2"/>
      <c r="Q360" s="2"/>
      <c r="R360" s="2"/>
      <c r="S360" s="2"/>
      <c r="T360" s="2"/>
      <c r="U360" s="2"/>
      <c r="V360" s="22"/>
    </row>
    <row r="361" spans="4:22" ht="13.2" x14ac:dyDescent="0.25">
      <c r="D361" s="2"/>
      <c r="E361" s="2"/>
      <c r="F361" s="2"/>
      <c r="G361" s="2"/>
      <c r="H361" s="2"/>
      <c r="I361" s="2"/>
      <c r="J361" s="2"/>
      <c r="K361" s="2"/>
      <c r="L361" s="2"/>
      <c r="M361" s="2"/>
      <c r="N361" s="2"/>
      <c r="O361" s="2"/>
      <c r="P361" s="2"/>
      <c r="Q361" s="2"/>
      <c r="R361" s="2"/>
      <c r="S361" s="2"/>
      <c r="T361" s="2"/>
      <c r="U361" s="2"/>
      <c r="V361" s="22"/>
    </row>
    <row r="362" spans="4:22" ht="13.2" x14ac:dyDescent="0.25">
      <c r="D362" s="2"/>
      <c r="E362" s="2"/>
      <c r="F362" s="2"/>
      <c r="G362" s="2"/>
      <c r="H362" s="2"/>
      <c r="I362" s="2"/>
      <c r="J362" s="2"/>
      <c r="K362" s="2"/>
      <c r="L362" s="2"/>
      <c r="M362" s="2"/>
      <c r="N362" s="2"/>
      <c r="O362" s="2"/>
      <c r="P362" s="2"/>
      <c r="Q362" s="2"/>
      <c r="R362" s="2"/>
      <c r="S362" s="2"/>
      <c r="T362" s="2"/>
      <c r="U362" s="2"/>
      <c r="V362" s="22"/>
    </row>
    <row r="363" spans="4:22" ht="13.2" x14ac:dyDescent="0.25">
      <c r="D363" s="2"/>
      <c r="E363" s="2"/>
      <c r="F363" s="2"/>
      <c r="G363" s="2"/>
      <c r="H363" s="2"/>
      <c r="I363" s="2"/>
      <c r="J363" s="2"/>
      <c r="K363" s="2"/>
      <c r="L363" s="2"/>
      <c r="M363" s="2"/>
      <c r="N363" s="2"/>
      <c r="O363" s="2"/>
      <c r="P363" s="2"/>
      <c r="Q363" s="2"/>
      <c r="R363" s="2"/>
      <c r="S363" s="2"/>
      <c r="T363" s="2"/>
      <c r="U363" s="2"/>
      <c r="V363" s="22"/>
    </row>
    <row r="364" spans="4:22" ht="13.2" x14ac:dyDescent="0.25">
      <c r="D364" s="2"/>
      <c r="E364" s="2"/>
      <c r="F364" s="2"/>
      <c r="G364" s="2"/>
      <c r="H364" s="2"/>
      <c r="I364" s="2"/>
      <c r="J364" s="2"/>
      <c r="K364" s="2"/>
      <c r="L364" s="2"/>
      <c r="M364" s="2"/>
      <c r="N364" s="2"/>
      <c r="O364" s="2"/>
      <c r="P364" s="2"/>
      <c r="Q364" s="2"/>
      <c r="R364" s="2"/>
      <c r="S364" s="2"/>
      <c r="T364" s="2"/>
      <c r="U364" s="2"/>
      <c r="V364" s="22"/>
    </row>
    <row r="365" spans="4:22" ht="13.2" x14ac:dyDescent="0.25">
      <c r="D365" s="2"/>
      <c r="E365" s="2"/>
      <c r="F365" s="2"/>
      <c r="G365" s="2"/>
      <c r="H365" s="2"/>
      <c r="I365" s="2"/>
      <c r="J365" s="2"/>
      <c r="K365" s="2"/>
      <c r="L365" s="2"/>
      <c r="M365" s="2"/>
      <c r="N365" s="2"/>
      <c r="O365" s="2"/>
      <c r="P365" s="2"/>
      <c r="Q365" s="2"/>
      <c r="R365" s="2"/>
      <c r="S365" s="2"/>
      <c r="T365" s="2"/>
      <c r="U365" s="2"/>
      <c r="V365" s="22"/>
    </row>
    <row r="366" spans="4:22" ht="13.2" x14ac:dyDescent="0.25">
      <c r="D366" s="2"/>
      <c r="E366" s="2"/>
      <c r="F366" s="2"/>
      <c r="G366" s="2"/>
      <c r="H366" s="2"/>
      <c r="I366" s="2"/>
      <c r="J366" s="2"/>
      <c r="K366" s="2"/>
      <c r="L366" s="2"/>
      <c r="M366" s="2"/>
      <c r="N366" s="2"/>
      <c r="O366" s="2"/>
      <c r="P366" s="2"/>
      <c r="Q366" s="2"/>
      <c r="R366" s="2"/>
      <c r="S366" s="2"/>
      <c r="T366" s="2"/>
      <c r="U366" s="2"/>
      <c r="V366" s="22"/>
    </row>
    <row r="367" spans="4:22" ht="13.2" x14ac:dyDescent="0.25">
      <c r="D367" s="2"/>
      <c r="E367" s="2"/>
      <c r="F367" s="2"/>
      <c r="G367" s="2"/>
      <c r="H367" s="2"/>
      <c r="I367" s="2"/>
      <c r="J367" s="2"/>
      <c r="K367" s="2"/>
      <c r="L367" s="2"/>
      <c r="M367" s="2"/>
      <c r="N367" s="2"/>
      <c r="O367" s="2"/>
      <c r="P367" s="2"/>
      <c r="Q367" s="2"/>
      <c r="R367" s="2"/>
      <c r="S367" s="2"/>
      <c r="T367" s="2"/>
      <c r="U367" s="2"/>
      <c r="V367" s="22"/>
    </row>
    <row r="368" spans="4:22" ht="13.2" x14ac:dyDescent="0.25">
      <c r="D368" s="2"/>
      <c r="E368" s="2"/>
      <c r="F368" s="2"/>
      <c r="G368" s="2"/>
      <c r="H368" s="2"/>
      <c r="I368" s="2"/>
      <c r="J368" s="2"/>
      <c r="K368" s="2"/>
      <c r="L368" s="2"/>
      <c r="M368" s="2"/>
      <c r="N368" s="2"/>
      <c r="O368" s="2"/>
      <c r="P368" s="2"/>
      <c r="Q368" s="2"/>
      <c r="R368" s="2"/>
      <c r="S368" s="2"/>
      <c r="T368" s="2"/>
      <c r="U368" s="2"/>
      <c r="V368" s="22"/>
    </row>
    <row r="369" spans="4:22" ht="13.2" x14ac:dyDescent="0.25">
      <c r="D369" s="2"/>
      <c r="E369" s="2"/>
      <c r="F369" s="2"/>
      <c r="G369" s="2"/>
      <c r="H369" s="2"/>
      <c r="I369" s="2"/>
      <c r="J369" s="2"/>
      <c r="K369" s="2"/>
      <c r="L369" s="2"/>
      <c r="M369" s="2"/>
      <c r="N369" s="2"/>
      <c r="O369" s="2"/>
      <c r="P369" s="2"/>
      <c r="Q369" s="2"/>
      <c r="R369" s="2"/>
      <c r="S369" s="2"/>
      <c r="T369" s="2"/>
      <c r="U369" s="2"/>
      <c r="V369" s="22"/>
    </row>
    <row r="370" spans="4:22" ht="13.2" x14ac:dyDescent="0.25">
      <c r="D370" s="2"/>
      <c r="E370" s="2"/>
      <c r="F370" s="2"/>
      <c r="G370" s="2"/>
      <c r="H370" s="2"/>
      <c r="I370" s="2"/>
      <c r="J370" s="2"/>
      <c r="K370" s="2"/>
      <c r="L370" s="2"/>
      <c r="M370" s="2"/>
      <c r="N370" s="2"/>
      <c r="O370" s="2"/>
      <c r="P370" s="2"/>
      <c r="Q370" s="2"/>
      <c r="R370" s="2"/>
      <c r="S370" s="2"/>
      <c r="T370" s="2"/>
      <c r="U370" s="2"/>
      <c r="V370" s="22"/>
    </row>
    <row r="371" spans="4:22" ht="13.2" x14ac:dyDescent="0.25">
      <c r="D371" s="2"/>
      <c r="E371" s="2"/>
      <c r="F371" s="2"/>
      <c r="G371" s="2"/>
      <c r="H371" s="2"/>
      <c r="I371" s="2"/>
      <c r="J371" s="2"/>
      <c r="K371" s="2"/>
      <c r="L371" s="2"/>
      <c r="M371" s="2"/>
      <c r="N371" s="2"/>
      <c r="O371" s="2"/>
      <c r="P371" s="2"/>
      <c r="Q371" s="2"/>
      <c r="R371" s="2"/>
      <c r="S371" s="2"/>
      <c r="T371" s="2"/>
      <c r="U371" s="2"/>
      <c r="V371" s="22"/>
    </row>
    <row r="372" spans="4:22" ht="13.2" x14ac:dyDescent="0.25">
      <c r="D372" s="2"/>
      <c r="E372" s="2"/>
      <c r="F372" s="2"/>
      <c r="G372" s="2"/>
      <c r="H372" s="2"/>
      <c r="I372" s="2"/>
      <c r="J372" s="2"/>
      <c r="K372" s="2"/>
      <c r="L372" s="2"/>
      <c r="M372" s="2"/>
      <c r="N372" s="2"/>
      <c r="O372" s="2"/>
      <c r="P372" s="2"/>
      <c r="Q372" s="2"/>
      <c r="R372" s="2"/>
      <c r="S372" s="2"/>
      <c r="T372" s="2"/>
      <c r="U372" s="2"/>
      <c r="V372" s="22"/>
    </row>
    <row r="373" spans="4:22" ht="13.2" x14ac:dyDescent="0.25">
      <c r="D373" s="2"/>
      <c r="E373" s="2"/>
      <c r="F373" s="2"/>
      <c r="G373" s="2"/>
      <c r="H373" s="2"/>
      <c r="I373" s="2"/>
      <c r="J373" s="2"/>
      <c r="K373" s="2"/>
      <c r="L373" s="2"/>
      <c r="M373" s="2"/>
      <c r="N373" s="2"/>
      <c r="O373" s="2"/>
      <c r="P373" s="2"/>
      <c r="Q373" s="2"/>
      <c r="R373" s="2"/>
      <c r="S373" s="2"/>
      <c r="T373" s="2"/>
      <c r="U373" s="2"/>
      <c r="V373" s="22"/>
    </row>
    <row r="374" spans="4:22" ht="13.2" x14ac:dyDescent="0.25">
      <c r="D374" s="2"/>
      <c r="E374" s="2"/>
      <c r="F374" s="2"/>
      <c r="G374" s="2"/>
      <c r="H374" s="2"/>
      <c r="I374" s="2"/>
      <c r="J374" s="2"/>
      <c r="K374" s="2"/>
      <c r="L374" s="2"/>
      <c r="M374" s="2"/>
      <c r="N374" s="2"/>
      <c r="O374" s="2"/>
      <c r="P374" s="2"/>
      <c r="Q374" s="2"/>
      <c r="R374" s="2"/>
      <c r="S374" s="2"/>
      <c r="T374" s="2"/>
      <c r="U374" s="2"/>
      <c r="V374" s="22"/>
    </row>
    <row r="375" spans="4:22" ht="13.2" x14ac:dyDescent="0.25">
      <c r="D375" s="2"/>
      <c r="E375" s="2"/>
      <c r="F375" s="2"/>
      <c r="G375" s="2"/>
      <c r="H375" s="2"/>
      <c r="I375" s="2"/>
      <c r="J375" s="2"/>
      <c r="K375" s="2"/>
      <c r="L375" s="2"/>
      <c r="M375" s="2"/>
      <c r="N375" s="2"/>
      <c r="O375" s="2"/>
      <c r="P375" s="2"/>
      <c r="Q375" s="2"/>
      <c r="R375" s="2"/>
      <c r="S375" s="2"/>
      <c r="T375" s="2"/>
      <c r="U375" s="2"/>
      <c r="V375" s="22"/>
    </row>
    <row r="376" spans="4:22" ht="13.2" x14ac:dyDescent="0.25">
      <c r="D376" s="2"/>
      <c r="E376" s="2"/>
      <c r="F376" s="2"/>
      <c r="G376" s="2"/>
      <c r="H376" s="2"/>
      <c r="I376" s="2"/>
      <c r="J376" s="2"/>
      <c r="K376" s="2"/>
      <c r="L376" s="2"/>
      <c r="M376" s="2"/>
      <c r="N376" s="2"/>
      <c r="O376" s="2"/>
      <c r="P376" s="2"/>
      <c r="Q376" s="2"/>
      <c r="R376" s="2"/>
      <c r="S376" s="2"/>
      <c r="T376" s="2"/>
      <c r="U376" s="2"/>
      <c r="V376" s="22"/>
    </row>
    <row r="377" spans="4:22" ht="13.2" x14ac:dyDescent="0.25">
      <c r="D377" s="2"/>
      <c r="E377" s="2"/>
      <c r="F377" s="2"/>
      <c r="G377" s="2"/>
      <c r="H377" s="2"/>
      <c r="I377" s="2"/>
      <c r="J377" s="2"/>
      <c r="K377" s="2"/>
      <c r="L377" s="2"/>
      <c r="M377" s="2"/>
      <c r="N377" s="2"/>
      <c r="O377" s="2"/>
      <c r="P377" s="2"/>
      <c r="Q377" s="2"/>
      <c r="R377" s="2"/>
      <c r="S377" s="2"/>
      <c r="T377" s="2"/>
      <c r="U377" s="2"/>
      <c r="V377" s="22"/>
    </row>
    <row r="378" spans="4:22" ht="13.2" x14ac:dyDescent="0.25">
      <c r="D378" s="2"/>
      <c r="E378" s="2"/>
      <c r="F378" s="2"/>
      <c r="G378" s="2"/>
      <c r="H378" s="2"/>
      <c r="I378" s="2"/>
      <c r="J378" s="2"/>
      <c r="K378" s="2"/>
      <c r="L378" s="2"/>
      <c r="M378" s="2"/>
      <c r="N378" s="2"/>
      <c r="O378" s="2"/>
      <c r="P378" s="2"/>
      <c r="Q378" s="2"/>
      <c r="R378" s="2"/>
      <c r="S378" s="2"/>
      <c r="T378" s="2"/>
      <c r="U378" s="2"/>
      <c r="V378" s="22"/>
    </row>
    <row r="379" spans="4:22" ht="13.2" x14ac:dyDescent="0.25">
      <c r="D379" s="2"/>
      <c r="E379" s="2"/>
      <c r="F379" s="2"/>
      <c r="G379" s="2"/>
      <c r="H379" s="2"/>
      <c r="I379" s="2"/>
      <c r="J379" s="2"/>
      <c r="K379" s="2"/>
      <c r="L379" s="2"/>
      <c r="M379" s="2"/>
      <c r="N379" s="2"/>
      <c r="O379" s="2"/>
      <c r="P379" s="2"/>
      <c r="Q379" s="2"/>
      <c r="R379" s="2"/>
      <c r="S379" s="2"/>
      <c r="T379" s="2"/>
      <c r="U379" s="2"/>
      <c r="V379" s="22"/>
    </row>
    <row r="380" spans="4:22" ht="13.2" x14ac:dyDescent="0.25">
      <c r="D380" s="2"/>
      <c r="E380" s="2"/>
      <c r="F380" s="2"/>
      <c r="G380" s="2"/>
      <c r="H380" s="2"/>
      <c r="I380" s="2"/>
      <c r="J380" s="2"/>
      <c r="K380" s="2"/>
      <c r="L380" s="2"/>
      <c r="M380" s="2"/>
      <c r="N380" s="2"/>
      <c r="O380" s="2"/>
      <c r="P380" s="2"/>
      <c r="Q380" s="2"/>
      <c r="R380" s="2"/>
      <c r="S380" s="2"/>
      <c r="T380" s="2"/>
      <c r="U380" s="2"/>
      <c r="V380" s="22"/>
    </row>
    <row r="381" spans="4:22" ht="13.2" x14ac:dyDescent="0.25">
      <c r="D381" s="2"/>
      <c r="E381" s="2"/>
      <c r="F381" s="2"/>
      <c r="G381" s="2"/>
      <c r="H381" s="2"/>
      <c r="I381" s="2"/>
      <c r="J381" s="2"/>
      <c r="K381" s="2"/>
      <c r="L381" s="2"/>
      <c r="M381" s="2"/>
      <c r="N381" s="2"/>
      <c r="O381" s="2"/>
      <c r="P381" s="2"/>
      <c r="Q381" s="2"/>
      <c r="R381" s="2"/>
      <c r="S381" s="2"/>
      <c r="T381" s="2"/>
      <c r="U381" s="2"/>
      <c r="V381" s="22"/>
    </row>
    <row r="382" spans="4:22" ht="13.2" x14ac:dyDescent="0.25">
      <c r="D382" s="2"/>
      <c r="E382" s="2"/>
      <c r="F382" s="2"/>
      <c r="G382" s="2"/>
      <c r="H382" s="2"/>
      <c r="I382" s="2"/>
      <c r="J382" s="2"/>
      <c r="K382" s="2"/>
      <c r="L382" s="2"/>
      <c r="M382" s="2"/>
      <c r="N382" s="2"/>
      <c r="O382" s="2"/>
      <c r="P382" s="2"/>
      <c r="Q382" s="2"/>
      <c r="R382" s="2"/>
      <c r="S382" s="2"/>
      <c r="T382" s="2"/>
      <c r="U382" s="2"/>
      <c r="V382" s="22"/>
    </row>
    <row r="383" spans="4:22" ht="13.2" x14ac:dyDescent="0.25">
      <c r="D383" s="2"/>
      <c r="E383" s="2"/>
      <c r="F383" s="2"/>
      <c r="G383" s="2"/>
      <c r="H383" s="2"/>
      <c r="I383" s="2"/>
      <c r="J383" s="2"/>
      <c r="K383" s="2"/>
      <c r="L383" s="2"/>
      <c r="M383" s="2"/>
      <c r="N383" s="2"/>
      <c r="O383" s="2"/>
      <c r="P383" s="2"/>
      <c r="Q383" s="2"/>
      <c r="R383" s="2"/>
      <c r="S383" s="2"/>
      <c r="T383" s="2"/>
      <c r="U383" s="2"/>
      <c r="V383" s="22"/>
    </row>
    <row r="384" spans="4:22" ht="13.2" x14ac:dyDescent="0.25">
      <c r="D384" s="2"/>
      <c r="E384" s="2"/>
      <c r="F384" s="2"/>
      <c r="G384" s="2"/>
      <c r="H384" s="2"/>
      <c r="I384" s="2"/>
      <c r="J384" s="2"/>
      <c r="K384" s="2"/>
      <c r="L384" s="2"/>
      <c r="M384" s="2"/>
      <c r="N384" s="2"/>
      <c r="O384" s="2"/>
      <c r="P384" s="2"/>
      <c r="Q384" s="2"/>
      <c r="R384" s="2"/>
      <c r="S384" s="2"/>
      <c r="T384" s="2"/>
      <c r="U384" s="2"/>
      <c r="V384" s="22"/>
    </row>
    <row r="385" spans="4:22" ht="13.2" x14ac:dyDescent="0.25">
      <c r="D385" s="2"/>
      <c r="E385" s="2"/>
      <c r="F385" s="2"/>
      <c r="G385" s="2"/>
      <c r="H385" s="2"/>
      <c r="I385" s="2"/>
      <c r="J385" s="2"/>
      <c r="K385" s="2"/>
      <c r="L385" s="2"/>
      <c r="M385" s="2"/>
      <c r="N385" s="2"/>
      <c r="O385" s="2"/>
      <c r="P385" s="2"/>
      <c r="Q385" s="2"/>
      <c r="R385" s="2"/>
      <c r="S385" s="2"/>
      <c r="T385" s="2"/>
      <c r="U385" s="2"/>
      <c r="V385" s="22"/>
    </row>
    <row r="386" spans="4:22" ht="13.2" x14ac:dyDescent="0.25">
      <c r="D386" s="2"/>
      <c r="E386" s="2"/>
      <c r="F386" s="2"/>
      <c r="G386" s="2"/>
      <c r="H386" s="2"/>
      <c r="I386" s="2"/>
      <c r="J386" s="2"/>
      <c r="K386" s="2"/>
      <c r="L386" s="2"/>
      <c r="M386" s="2"/>
      <c r="N386" s="2"/>
      <c r="O386" s="2"/>
      <c r="P386" s="2"/>
      <c r="Q386" s="2"/>
      <c r="R386" s="2"/>
      <c r="S386" s="2"/>
      <c r="T386" s="2"/>
      <c r="U386" s="2"/>
      <c r="V386" s="22"/>
    </row>
    <row r="387" spans="4:22" ht="13.2" x14ac:dyDescent="0.25">
      <c r="D387" s="2"/>
      <c r="E387" s="2"/>
      <c r="F387" s="2"/>
      <c r="G387" s="2"/>
      <c r="H387" s="2"/>
      <c r="I387" s="2"/>
      <c r="J387" s="2"/>
      <c r="K387" s="2"/>
      <c r="L387" s="2"/>
      <c r="M387" s="2"/>
      <c r="N387" s="2"/>
      <c r="O387" s="2"/>
      <c r="P387" s="2"/>
      <c r="Q387" s="2"/>
      <c r="R387" s="2"/>
      <c r="S387" s="2"/>
      <c r="T387" s="2"/>
      <c r="U387" s="2"/>
      <c r="V387" s="22"/>
    </row>
    <row r="388" spans="4:22" ht="13.2" x14ac:dyDescent="0.25">
      <c r="D388" s="2"/>
      <c r="E388" s="2"/>
      <c r="F388" s="2"/>
      <c r="G388" s="2"/>
      <c r="H388" s="2"/>
      <c r="I388" s="2"/>
      <c r="J388" s="2"/>
      <c r="K388" s="2"/>
      <c r="L388" s="2"/>
      <c r="M388" s="2"/>
      <c r="N388" s="2"/>
      <c r="O388" s="2"/>
      <c r="P388" s="2"/>
      <c r="Q388" s="2"/>
      <c r="R388" s="2"/>
      <c r="S388" s="2"/>
      <c r="T388" s="2"/>
      <c r="U388" s="2"/>
      <c r="V388" s="22"/>
    </row>
    <row r="389" spans="4:22" ht="13.2" x14ac:dyDescent="0.25">
      <c r="D389" s="2"/>
      <c r="E389" s="2"/>
      <c r="F389" s="2"/>
      <c r="G389" s="2"/>
      <c r="H389" s="2"/>
      <c r="I389" s="2"/>
      <c r="J389" s="2"/>
      <c r="K389" s="2"/>
      <c r="L389" s="2"/>
      <c r="M389" s="2"/>
      <c r="N389" s="2"/>
      <c r="O389" s="2"/>
      <c r="P389" s="2"/>
      <c r="Q389" s="2"/>
      <c r="R389" s="2"/>
      <c r="S389" s="2"/>
      <c r="T389" s="2"/>
      <c r="U389" s="2"/>
      <c r="V389" s="22"/>
    </row>
    <row r="390" spans="4:22" ht="13.2" x14ac:dyDescent="0.25">
      <c r="D390" s="2"/>
      <c r="E390" s="2"/>
      <c r="F390" s="2"/>
      <c r="G390" s="2"/>
      <c r="H390" s="2"/>
      <c r="I390" s="2"/>
      <c r="J390" s="2"/>
      <c r="K390" s="2"/>
      <c r="L390" s="2"/>
      <c r="M390" s="2"/>
      <c r="N390" s="2"/>
      <c r="O390" s="2"/>
      <c r="P390" s="2"/>
      <c r="Q390" s="2"/>
      <c r="R390" s="2"/>
      <c r="S390" s="2"/>
      <c r="T390" s="2"/>
      <c r="U390" s="2"/>
      <c r="V390" s="22"/>
    </row>
    <row r="391" spans="4:22" ht="13.2" x14ac:dyDescent="0.25">
      <c r="D391" s="2"/>
      <c r="E391" s="2"/>
      <c r="F391" s="2"/>
      <c r="G391" s="2"/>
      <c r="H391" s="2"/>
      <c r="I391" s="2"/>
      <c r="J391" s="2"/>
      <c r="K391" s="2"/>
      <c r="L391" s="2"/>
      <c r="M391" s="2"/>
      <c r="N391" s="2"/>
      <c r="O391" s="2"/>
      <c r="P391" s="2"/>
      <c r="Q391" s="2"/>
      <c r="R391" s="2"/>
      <c r="S391" s="2"/>
      <c r="T391" s="2"/>
      <c r="U391" s="2"/>
      <c r="V391" s="22"/>
    </row>
    <row r="392" spans="4:22" ht="13.2" x14ac:dyDescent="0.25">
      <c r="D392" s="2"/>
      <c r="E392" s="2"/>
      <c r="F392" s="2"/>
      <c r="G392" s="2"/>
      <c r="H392" s="2"/>
      <c r="I392" s="2"/>
      <c r="J392" s="2"/>
      <c r="K392" s="2"/>
      <c r="L392" s="2"/>
      <c r="M392" s="2"/>
      <c r="N392" s="2"/>
      <c r="O392" s="2"/>
      <c r="P392" s="2"/>
      <c r="Q392" s="2"/>
      <c r="R392" s="2"/>
      <c r="S392" s="2"/>
      <c r="T392" s="2"/>
      <c r="U392" s="2"/>
      <c r="V392" s="22"/>
    </row>
    <row r="393" spans="4:22" ht="13.2" x14ac:dyDescent="0.25">
      <c r="D393" s="2"/>
      <c r="E393" s="2"/>
      <c r="F393" s="2"/>
      <c r="G393" s="2"/>
      <c r="H393" s="2"/>
      <c r="I393" s="2"/>
      <c r="J393" s="2"/>
      <c r="K393" s="2"/>
      <c r="L393" s="2"/>
      <c r="M393" s="2"/>
      <c r="N393" s="2"/>
      <c r="O393" s="2"/>
      <c r="P393" s="2"/>
      <c r="Q393" s="2"/>
      <c r="R393" s="2"/>
      <c r="S393" s="2"/>
      <c r="T393" s="2"/>
      <c r="U393" s="2"/>
      <c r="V393" s="22"/>
    </row>
    <row r="394" spans="4:22" ht="13.2" x14ac:dyDescent="0.25">
      <c r="D394" s="2"/>
      <c r="E394" s="2"/>
      <c r="F394" s="2"/>
      <c r="G394" s="2"/>
      <c r="H394" s="2"/>
      <c r="I394" s="2"/>
      <c r="J394" s="2"/>
      <c r="K394" s="2"/>
      <c r="L394" s="2"/>
      <c r="M394" s="2"/>
      <c r="N394" s="2"/>
      <c r="O394" s="2"/>
      <c r="P394" s="2"/>
      <c r="Q394" s="2"/>
      <c r="R394" s="2"/>
      <c r="S394" s="2"/>
      <c r="T394" s="2"/>
      <c r="U394" s="2"/>
      <c r="V394" s="22"/>
    </row>
    <row r="395" spans="4:22" ht="13.2" x14ac:dyDescent="0.25">
      <c r="D395" s="2"/>
      <c r="E395" s="2"/>
      <c r="F395" s="2"/>
      <c r="G395" s="2"/>
      <c r="H395" s="2"/>
      <c r="I395" s="2"/>
      <c r="J395" s="2"/>
      <c r="K395" s="2"/>
      <c r="L395" s="2"/>
      <c r="M395" s="2"/>
      <c r="N395" s="2"/>
      <c r="O395" s="2"/>
      <c r="P395" s="2"/>
      <c r="Q395" s="2"/>
      <c r="R395" s="2"/>
      <c r="S395" s="2"/>
      <c r="T395" s="2"/>
      <c r="U395" s="2"/>
      <c r="V395" s="22"/>
    </row>
    <row r="396" spans="4:22" ht="13.2" x14ac:dyDescent="0.25">
      <c r="D396" s="2"/>
      <c r="E396" s="2"/>
      <c r="F396" s="2"/>
      <c r="G396" s="2"/>
      <c r="H396" s="2"/>
      <c r="I396" s="2"/>
      <c r="J396" s="2"/>
      <c r="K396" s="2"/>
      <c r="L396" s="2"/>
      <c r="M396" s="2"/>
      <c r="N396" s="2"/>
      <c r="O396" s="2"/>
      <c r="P396" s="2"/>
      <c r="Q396" s="2"/>
      <c r="R396" s="2"/>
      <c r="S396" s="2"/>
      <c r="T396" s="2"/>
      <c r="U396" s="2"/>
      <c r="V396" s="22"/>
    </row>
    <row r="397" spans="4:22" ht="13.2" x14ac:dyDescent="0.25">
      <c r="D397" s="2"/>
      <c r="E397" s="2"/>
      <c r="F397" s="2"/>
      <c r="G397" s="2"/>
      <c r="H397" s="2"/>
      <c r="I397" s="2"/>
      <c r="J397" s="2"/>
      <c r="K397" s="2"/>
      <c r="L397" s="2"/>
      <c r="M397" s="2"/>
      <c r="N397" s="2"/>
      <c r="O397" s="2"/>
      <c r="P397" s="2"/>
      <c r="Q397" s="2"/>
      <c r="R397" s="2"/>
      <c r="S397" s="2"/>
      <c r="T397" s="2"/>
      <c r="U397" s="2"/>
      <c r="V397" s="22"/>
    </row>
    <row r="398" spans="4:22" ht="13.2" x14ac:dyDescent="0.25">
      <c r="D398" s="2"/>
      <c r="E398" s="2"/>
      <c r="F398" s="2"/>
      <c r="G398" s="2"/>
      <c r="H398" s="2"/>
      <c r="I398" s="2"/>
      <c r="J398" s="2"/>
      <c r="K398" s="2"/>
      <c r="L398" s="2"/>
      <c r="M398" s="2"/>
      <c r="N398" s="2"/>
      <c r="O398" s="2"/>
      <c r="P398" s="2"/>
      <c r="Q398" s="2"/>
      <c r="R398" s="2"/>
      <c r="S398" s="2"/>
      <c r="T398" s="2"/>
      <c r="U398" s="2"/>
      <c r="V398" s="22"/>
    </row>
    <row r="399" spans="4:22" ht="13.2" x14ac:dyDescent="0.25">
      <c r="D399" s="2"/>
      <c r="E399" s="2"/>
      <c r="F399" s="2"/>
      <c r="G399" s="2"/>
      <c r="H399" s="2"/>
      <c r="I399" s="2"/>
      <c r="J399" s="2"/>
      <c r="K399" s="2"/>
      <c r="L399" s="2"/>
      <c r="M399" s="2"/>
      <c r="N399" s="2"/>
      <c r="O399" s="2"/>
      <c r="P399" s="2"/>
      <c r="Q399" s="2"/>
      <c r="R399" s="2"/>
      <c r="S399" s="2"/>
      <c r="T399" s="2"/>
      <c r="U399" s="2"/>
      <c r="V399" s="22"/>
    </row>
    <row r="400" spans="4:22" ht="13.2" x14ac:dyDescent="0.25">
      <c r="D400" s="2"/>
      <c r="E400" s="2"/>
      <c r="F400" s="2"/>
      <c r="G400" s="2"/>
      <c r="H400" s="2"/>
      <c r="I400" s="2"/>
      <c r="J400" s="2"/>
      <c r="K400" s="2"/>
      <c r="L400" s="2"/>
      <c r="M400" s="2"/>
      <c r="N400" s="2"/>
      <c r="O400" s="2"/>
      <c r="P400" s="2"/>
      <c r="Q400" s="2"/>
      <c r="R400" s="2"/>
      <c r="S400" s="2"/>
      <c r="T400" s="2"/>
      <c r="U400" s="2"/>
      <c r="V400" s="22"/>
    </row>
    <row r="401" spans="4:22" ht="13.2" x14ac:dyDescent="0.25">
      <c r="D401" s="2"/>
      <c r="E401" s="2"/>
      <c r="F401" s="2"/>
      <c r="G401" s="2"/>
      <c r="H401" s="2"/>
      <c r="I401" s="2"/>
      <c r="J401" s="2"/>
      <c r="K401" s="2"/>
      <c r="L401" s="2"/>
      <c r="M401" s="2"/>
      <c r="N401" s="2"/>
      <c r="O401" s="2"/>
      <c r="P401" s="2"/>
      <c r="Q401" s="2"/>
      <c r="R401" s="2"/>
      <c r="S401" s="2"/>
      <c r="T401" s="2"/>
      <c r="U401" s="2"/>
      <c r="V401" s="22"/>
    </row>
    <row r="402" spans="4:22" ht="13.2" x14ac:dyDescent="0.25">
      <c r="D402" s="2"/>
      <c r="E402" s="2"/>
      <c r="F402" s="2"/>
      <c r="G402" s="2"/>
      <c r="H402" s="2"/>
      <c r="I402" s="2"/>
      <c r="J402" s="2"/>
      <c r="K402" s="2"/>
      <c r="L402" s="2"/>
      <c r="M402" s="2"/>
      <c r="N402" s="2"/>
      <c r="O402" s="2"/>
      <c r="P402" s="2"/>
      <c r="Q402" s="2"/>
      <c r="R402" s="2"/>
      <c r="S402" s="2"/>
      <c r="T402" s="2"/>
      <c r="U402" s="2"/>
      <c r="V402" s="22"/>
    </row>
    <row r="403" spans="4:22" ht="13.2" x14ac:dyDescent="0.25">
      <c r="D403" s="2"/>
      <c r="E403" s="2"/>
      <c r="F403" s="2"/>
      <c r="G403" s="2"/>
      <c r="H403" s="2"/>
      <c r="I403" s="2"/>
      <c r="J403" s="2"/>
      <c r="K403" s="2"/>
      <c r="L403" s="2"/>
      <c r="M403" s="2"/>
      <c r="N403" s="2"/>
      <c r="O403" s="2"/>
      <c r="P403" s="2"/>
      <c r="Q403" s="2"/>
      <c r="R403" s="2"/>
      <c r="S403" s="2"/>
      <c r="T403" s="2"/>
      <c r="U403" s="2"/>
      <c r="V403" s="22"/>
    </row>
    <row r="404" spans="4:22" ht="13.2" x14ac:dyDescent="0.25">
      <c r="D404" s="2"/>
      <c r="E404" s="2"/>
      <c r="F404" s="2"/>
      <c r="G404" s="2"/>
      <c r="H404" s="2"/>
      <c r="I404" s="2"/>
      <c r="J404" s="2"/>
      <c r="K404" s="2"/>
      <c r="L404" s="2"/>
      <c r="M404" s="2"/>
      <c r="N404" s="2"/>
      <c r="O404" s="2"/>
      <c r="P404" s="2"/>
      <c r="Q404" s="2"/>
      <c r="R404" s="2"/>
      <c r="S404" s="2"/>
      <c r="T404" s="2"/>
      <c r="U404" s="2"/>
      <c r="V404" s="22"/>
    </row>
    <row r="405" spans="4:22" ht="13.2" x14ac:dyDescent="0.25">
      <c r="D405" s="2"/>
      <c r="E405" s="2"/>
      <c r="F405" s="2"/>
      <c r="G405" s="2"/>
      <c r="H405" s="2"/>
      <c r="I405" s="2"/>
      <c r="J405" s="2"/>
      <c r="K405" s="2"/>
      <c r="L405" s="2"/>
      <c r="M405" s="2"/>
      <c r="N405" s="2"/>
      <c r="O405" s="2"/>
      <c r="P405" s="2"/>
      <c r="Q405" s="2"/>
      <c r="R405" s="2"/>
      <c r="S405" s="2"/>
      <c r="T405" s="2"/>
      <c r="U405" s="2"/>
      <c r="V405" s="22"/>
    </row>
    <row r="406" spans="4:22" ht="13.2" x14ac:dyDescent="0.25">
      <c r="D406" s="2"/>
      <c r="E406" s="2"/>
      <c r="F406" s="2"/>
      <c r="G406" s="2"/>
      <c r="H406" s="2"/>
      <c r="I406" s="2"/>
      <c r="J406" s="2"/>
      <c r="K406" s="2"/>
      <c r="L406" s="2"/>
      <c r="M406" s="2"/>
      <c r="N406" s="2"/>
      <c r="O406" s="2"/>
      <c r="P406" s="2"/>
      <c r="Q406" s="2"/>
      <c r="R406" s="2"/>
      <c r="S406" s="2"/>
      <c r="T406" s="2"/>
      <c r="U406" s="2"/>
      <c r="V406" s="22"/>
    </row>
    <row r="407" spans="4:22" ht="13.2" x14ac:dyDescent="0.25">
      <c r="D407" s="2"/>
      <c r="E407" s="2"/>
      <c r="F407" s="2"/>
      <c r="G407" s="2"/>
      <c r="H407" s="2"/>
      <c r="I407" s="2"/>
      <c r="J407" s="2"/>
      <c r="K407" s="2"/>
      <c r="L407" s="2"/>
      <c r="M407" s="2"/>
      <c r="N407" s="2"/>
      <c r="O407" s="2"/>
      <c r="P407" s="2"/>
      <c r="Q407" s="2"/>
      <c r="R407" s="2"/>
      <c r="S407" s="2"/>
      <c r="T407" s="2"/>
      <c r="U407" s="2"/>
      <c r="V407" s="22"/>
    </row>
    <row r="408" spans="4:22" ht="13.2" x14ac:dyDescent="0.25">
      <c r="D408" s="2"/>
      <c r="E408" s="2"/>
      <c r="F408" s="2"/>
      <c r="G408" s="2"/>
      <c r="H408" s="2"/>
      <c r="I408" s="2"/>
      <c r="J408" s="2"/>
      <c r="K408" s="2"/>
      <c r="L408" s="2"/>
      <c r="M408" s="2"/>
      <c r="N408" s="2"/>
      <c r="O408" s="2"/>
      <c r="P408" s="2"/>
      <c r="Q408" s="2"/>
      <c r="R408" s="2"/>
      <c r="S408" s="2"/>
      <c r="T408" s="2"/>
      <c r="U408" s="2"/>
      <c r="V408" s="22"/>
    </row>
    <row r="409" spans="4:22" ht="13.2" x14ac:dyDescent="0.25">
      <c r="D409" s="2"/>
      <c r="E409" s="2"/>
      <c r="F409" s="2"/>
      <c r="G409" s="2"/>
      <c r="H409" s="2"/>
      <c r="I409" s="2"/>
      <c r="J409" s="2"/>
      <c r="K409" s="2"/>
      <c r="L409" s="2"/>
      <c r="M409" s="2"/>
      <c r="N409" s="2"/>
      <c r="O409" s="2"/>
      <c r="P409" s="2"/>
      <c r="Q409" s="2"/>
      <c r="R409" s="2"/>
      <c r="S409" s="2"/>
      <c r="T409" s="2"/>
      <c r="U409" s="2"/>
      <c r="V409" s="22"/>
    </row>
    <row r="410" spans="4:22" ht="13.2" x14ac:dyDescent="0.25">
      <c r="D410" s="2"/>
      <c r="E410" s="2"/>
      <c r="F410" s="2"/>
      <c r="G410" s="2"/>
      <c r="H410" s="2"/>
      <c r="I410" s="2"/>
      <c r="J410" s="2"/>
      <c r="K410" s="2"/>
      <c r="L410" s="2"/>
      <c r="M410" s="2"/>
      <c r="N410" s="2"/>
      <c r="O410" s="2"/>
      <c r="P410" s="2"/>
      <c r="Q410" s="2"/>
      <c r="R410" s="2"/>
      <c r="S410" s="2"/>
      <c r="T410" s="2"/>
      <c r="U410" s="2"/>
      <c r="V410" s="22"/>
    </row>
    <row r="411" spans="4:22" ht="13.2" x14ac:dyDescent="0.25">
      <c r="D411" s="2"/>
      <c r="E411" s="2"/>
      <c r="F411" s="2"/>
      <c r="G411" s="2"/>
      <c r="H411" s="2"/>
      <c r="I411" s="2"/>
      <c r="J411" s="2"/>
      <c r="K411" s="2"/>
      <c r="L411" s="2"/>
      <c r="M411" s="2"/>
      <c r="N411" s="2"/>
      <c r="O411" s="2"/>
      <c r="P411" s="2"/>
      <c r="Q411" s="2"/>
      <c r="R411" s="2"/>
      <c r="S411" s="2"/>
      <c r="T411" s="2"/>
      <c r="U411" s="2"/>
      <c r="V411" s="22"/>
    </row>
    <row r="412" spans="4:22" ht="13.2" x14ac:dyDescent="0.25">
      <c r="D412" s="2"/>
      <c r="E412" s="2"/>
      <c r="F412" s="2"/>
      <c r="G412" s="2"/>
      <c r="H412" s="2"/>
      <c r="I412" s="2"/>
      <c r="J412" s="2"/>
      <c r="K412" s="2"/>
      <c r="L412" s="2"/>
      <c r="M412" s="2"/>
      <c r="N412" s="2"/>
      <c r="O412" s="2"/>
      <c r="P412" s="2"/>
      <c r="Q412" s="2"/>
      <c r="R412" s="2"/>
      <c r="S412" s="2"/>
      <c r="T412" s="2"/>
      <c r="U412" s="2"/>
      <c r="V412" s="22"/>
    </row>
    <row r="413" spans="4:22" ht="13.2" x14ac:dyDescent="0.25">
      <c r="D413" s="2"/>
      <c r="E413" s="2"/>
      <c r="F413" s="2"/>
      <c r="G413" s="2"/>
      <c r="H413" s="2"/>
      <c r="I413" s="2"/>
      <c r="J413" s="2"/>
      <c r="K413" s="2"/>
      <c r="L413" s="2"/>
      <c r="M413" s="2"/>
      <c r="N413" s="2"/>
      <c r="O413" s="2"/>
      <c r="P413" s="2"/>
      <c r="Q413" s="2"/>
      <c r="R413" s="2"/>
      <c r="S413" s="2"/>
      <c r="T413" s="2"/>
      <c r="U413" s="2"/>
      <c r="V413" s="22"/>
    </row>
    <row r="414" spans="4:22" ht="13.2" x14ac:dyDescent="0.25">
      <c r="D414" s="2"/>
      <c r="E414" s="2"/>
      <c r="F414" s="2"/>
      <c r="G414" s="2"/>
      <c r="H414" s="2"/>
      <c r="I414" s="2"/>
      <c r="J414" s="2"/>
      <c r="K414" s="2"/>
      <c r="L414" s="2"/>
      <c r="M414" s="2"/>
      <c r="N414" s="2"/>
      <c r="O414" s="2"/>
      <c r="P414" s="2"/>
      <c r="Q414" s="2"/>
      <c r="R414" s="2"/>
      <c r="S414" s="2"/>
      <c r="T414" s="2"/>
      <c r="U414" s="2"/>
      <c r="V414" s="22"/>
    </row>
    <row r="415" spans="4:22" ht="13.2" x14ac:dyDescent="0.25">
      <c r="D415" s="2"/>
      <c r="E415" s="2"/>
      <c r="F415" s="2"/>
      <c r="G415" s="2"/>
      <c r="H415" s="2"/>
      <c r="I415" s="2"/>
      <c r="J415" s="2"/>
      <c r="K415" s="2"/>
      <c r="L415" s="2"/>
      <c r="M415" s="2"/>
      <c r="N415" s="2"/>
      <c r="O415" s="2"/>
      <c r="P415" s="2"/>
      <c r="Q415" s="2"/>
      <c r="R415" s="2"/>
      <c r="S415" s="2"/>
      <c r="T415" s="2"/>
      <c r="U415" s="2"/>
      <c r="V415" s="22"/>
    </row>
    <row r="416" spans="4:22" ht="13.2" x14ac:dyDescent="0.25">
      <c r="D416" s="2"/>
      <c r="E416" s="2"/>
      <c r="F416" s="2"/>
      <c r="G416" s="2"/>
      <c r="H416" s="2"/>
      <c r="I416" s="2"/>
      <c r="J416" s="2"/>
      <c r="K416" s="2"/>
      <c r="L416" s="2"/>
      <c r="M416" s="2"/>
      <c r="N416" s="2"/>
      <c r="O416" s="2"/>
      <c r="P416" s="2"/>
      <c r="Q416" s="2"/>
      <c r="R416" s="2"/>
      <c r="S416" s="2"/>
      <c r="T416" s="2"/>
      <c r="U416" s="2"/>
      <c r="V416" s="22"/>
    </row>
    <row r="417" spans="4:22" ht="13.2" x14ac:dyDescent="0.25">
      <c r="D417" s="2"/>
      <c r="E417" s="2"/>
      <c r="F417" s="2"/>
      <c r="G417" s="2"/>
      <c r="H417" s="2"/>
      <c r="I417" s="2"/>
      <c r="J417" s="2"/>
      <c r="K417" s="2"/>
      <c r="L417" s="2"/>
      <c r="M417" s="2"/>
      <c r="N417" s="2"/>
      <c r="O417" s="2"/>
      <c r="P417" s="2"/>
      <c r="Q417" s="2"/>
      <c r="R417" s="2"/>
      <c r="S417" s="2"/>
      <c r="T417" s="2"/>
      <c r="U417" s="2"/>
      <c r="V417" s="22"/>
    </row>
    <row r="418" spans="4:22" ht="13.2" x14ac:dyDescent="0.25">
      <c r="D418" s="2"/>
      <c r="E418" s="2"/>
      <c r="F418" s="2"/>
      <c r="G418" s="2"/>
      <c r="H418" s="2"/>
      <c r="I418" s="2"/>
      <c r="J418" s="2"/>
      <c r="K418" s="2"/>
      <c r="L418" s="2"/>
      <c r="M418" s="2"/>
      <c r="N418" s="2"/>
      <c r="O418" s="2"/>
      <c r="P418" s="2"/>
      <c r="Q418" s="2"/>
      <c r="R418" s="2"/>
      <c r="S418" s="2"/>
      <c r="T418" s="2"/>
      <c r="U418" s="2"/>
      <c r="V418" s="22"/>
    </row>
    <row r="419" spans="4:22" ht="13.2" x14ac:dyDescent="0.25">
      <c r="D419" s="2"/>
      <c r="E419" s="2"/>
      <c r="F419" s="2"/>
      <c r="G419" s="2"/>
      <c r="H419" s="2"/>
      <c r="I419" s="2"/>
      <c r="J419" s="2"/>
      <c r="K419" s="2"/>
      <c r="L419" s="2"/>
      <c r="M419" s="2"/>
      <c r="N419" s="2"/>
      <c r="O419" s="2"/>
      <c r="P419" s="2"/>
      <c r="Q419" s="2"/>
      <c r="R419" s="2"/>
      <c r="S419" s="2"/>
      <c r="T419" s="2"/>
      <c r="U419" s="2"/>
      <c r="V419" s="22"/>
    </row>
    <row r="420" spans="4:22" ht="13.2" x14ac:dyDescent="0.25">
      <c r="D420" s="2"/>
      <c r="E420" s="2"/>
      <c r="F420" s="2"/>
      <c r="G420" s="2"/>
      <c r="H420" s="2"/>
      <c r="I420" s="2"/>
      <c r="J420" s="2"/>
      <c r="K420" s="2"/>
      <c r="L420" s="2"/>
      <c r="M420" s="2"/>
      <c r="N420" s="2"/>
      <c r="O420" s="2"/>
      <c r="P420" s="2"/>
      <c r="Q420" s="2"/>
      <c r="R420" s="2"/>
      <c r="S420" s="2"/>
      <c r="T420" s="2"/>
      <c r="U420" s="2"/>
      <c r="V420" s="22"/>
    </row>
    <row r="421" spans="4:22" ht="13.2" x14ac:dyDescent="0.25">
      <c r="D421" s="2"/>
      <c r="E421" s="2"/>
      <c r="F421" s="2"/>
      <c r="G421" s="2"/>
      <c r="H421" s="2"/>
      <c r="I421" s="2"/>
      <c r="J421" s="2"/>
      <c r="K421" s="2"/>
      <c r="L421" s="2"/>
      <c r="M421" s="2"/>
      <c r="N421" s="2"/>
      <c r="O421" s="2"/>
      <c r="P421" s="2"/>
      <c r="Q421" s="2"/>
      <c r="R421" s="2"/>
      <c r="S421" s="2"/>
      <c r="T421" s="2"/>
      <c r="U421" s="2"/>
      <c r="V421" s="22"/>
    </row>
    <row r="422" spans="4:22" ht="13.2" x14ac:dyDescent="0.25">
      <c r="D422" s="2"/>
      <c r="E422" s="2"/>
      <c r="F422" s="2"/>
      <c r="G422" s="2"/>
      <c r="H422" s="2"/>
      <c r="I422" s="2"/>
      <c r="J422" s="2"/>
      <c r="K422" s="2"/>
      <c r="L422" s="2"/>
      <c r="M422" s="2"/>
      <c r="N422" s="2"/>
      <c r="O422" s="2"/>
      <c r="P422" s="2"/>
      <c r="Q422" s="2"/>
      <c r="R422" s="2"/>
      <c r="S422" s="2"/>
      <c r="T422" s="2"/>
      <c r="U422" s="2"/>
      <c r="V422" s="22"/>
    </row>
    <row r="423" spans="4:22" ht="13.2" x14ac:dyDescent="0.25">
      <c r="D423" s="2"/>
      <c r="E423" s="2"/>
      <c r="F423" s="2"/>
      <c r="G423" s="2"/>
      <c r="H423" s="2"/>
      <c r="I423" s="2"/>
      <c r="J423" s="2"/>
      <c r="K423" s="2"/>
      <c r="L423" s="2"/>
      <c r="M423" s="2"/>
      <c r="N423" s="2"/>
      <c r="O423" s="2"/>
      <c r="P423" s="2"/>
      <c r="Q423" s="2"/>
      <c r="R423" s="2"/>
      <c r="S423" s="2"/>
      <c r="T423" s="2"/>
      <c r="U423" s="2"/>
      <c r="V423" s="22"/>
    </row>
    <row r="424" spans="4:22" ht="13.2" x14ac:dyDescent="0.25">
      <c r="D424" s="2"/>
      <c r="E424" s="2"/>
      <c r="F424" s="2"/>
      <c r="G424" s="2"/>
      <c r="H424" s="2"/>
      <c r="I424" s="2"/>
      <c r="J424" s="2"/>
      <c r="K424" s="2"/>
      <c r="L424" s="2"/>
      <c r="M424" s="2"/>
      <c r="N424" s="2"/>
      <c r="O424" s="2"/>
      <c r="P424" s="2"/>
      <c r="Q424" s="2"/>
      <c r="R424" s="2"/>
      <c r="S424" s="2"/>
      <c r="T424" s="2"/>
      <c r="U424" s="2"/>
      <c r="V424" s="22"/>
    </row>
    <row r="425" spans="4:22" ht="13.2" x14ac:dyDescent="0.25">
      <c r="D425" s="2"/>
      <c r="E425" s="2"/>
      <c r="F425" s="2"/>
      <c r="G425" s="2"/>
      <c r="H425" s="2"/>
      <c r="I425" s="2"/>
      <c r="J425" s="2"/>
      <c r="K425" s="2"/>
      <c r="L425" s="2"/>
      <c r="M425" s="2"/>
      <c r="N425" s="2"/>
      <c r="O425" s="2"/>
      <c r="P425" s="2"/>
      <c r="Q425" s="2"/>
      <c r="R425" s="2"/>
      <c r="S425" s="2"/>
      <c r="T425" s="2"/>
      <c r="U425" s="2"/>
      <c r="V425" s="22"/>
    </row>
    <row r="426" spans="4:22" ht="13.2" x14ac:dyDescent="0.25">
      <c r="D426" s="2"/>
      <c r="E426" s="2"/>
      <c r="F426" s="2"/>
      <c r="G426" s="2"/>
      <c r="H426" s="2"/>
      <c r="I426" s="2"/>
      <c r="J426" s="2"/>
      <c r="K426" s="2"/>
      <c r="L426" s="2"/>
      <c r="M426" s="2"/>
      <c r="N426" s="2"/>
      <c r="O426" s="2"/>
      <c r="P426" s="2"/>
      <c r="Q426" s="2"/>
      <c r="R426" s="2"/>
      <c r="S426" s="2"/>
      <c r="T426" s="2"/>
      <c r="U426" s="2"/>
      <c r="V426" s="22"/>
    </row>
    <row r="427" spans="4:22" ht="13.2" x14ac:dyDescent="0.25">
      <c r="D427" s="2"/>
      <c r="E427" s="2"/>
      <c r="F427" s="2"/>
      <c r="G427" s="2"/>
      <c r="H427" s="2"/>
      <c r="I427" s="2"/>
      <c r="J427" s="2"/>
      <c r="K427" s="2"/>
      <c r="L427" s="2"/>
      <c r="M427" s="2"/>
      <c r="N427" s="2"/>
      <c r="O427" s="2"/>
      <c r="P427" s="2"/>
      <c r="Q427" s="2"/>
      <c r="R427" s="2"/>
      <c r="S427" s="2"/>
      <c r="T427" s="2"/>
      <c r="U427" s="2"/>
      <c r="V427" s="22"/>
    </row>
    <row r="428" spans="4:22" ht="13.2" x14ac:dyDescent="0.25">
      <c r="D428" s="2"/>
      <c r="E428" s="2"/>
      <c r="F428" s="2"/>
      <c r="G428" s="2"/>
      <c r="H428" s="2"/>
      <c r="I428" s="2"/>
      <c r="J428" s="2"/>
      <c r="K428" s="2"/>
      <c r="L428" s="2"/>
      <c r="M428" s="2"/>
      <c r="N428" s="2"/>
      <c r="O428" s="2"/>
      <c r="P428" s="2"/>
      <c r="Q428" s="2"/>
      <c r="R428" s="2"/>
      <c r="S428" s="2"/>
      <c r="T428" s="2"/>
      <c r="U428" s="2"/>
      <c r="V428" s="22"/>
    </row>
    <row r="429" spans="4:22" ht="13.2" x14ac:dyDescent="0.25">
      <c r="D429" s="2"/>
      <c r="E429" s="2"/>
      <c r="F429" s="2"/>
      <c r="G429" s="2"/>
      <c r="H429" s="2"/>
      <c r="I429" s="2"/>
      <c r="J429" s="2"/>
      <c r="K429" s="2"/>
      <c r="L429" s="2"/>
      <c r="M429" s="2"/>
      <c r="N429" s="2"/>
      <c r="O429" s="2"/>
      <c r="P429" s="2"/>
      <c r="Q429" s="2"/>
      <c r="R429" s="2"/>
      <c r="S429" s="2"/>
      <c r="T429" s="2"/>
      <c r="U429" s="2"/>
      <c r="V429" s="22"/>
    </row>
    <row r="430" spans="4:22" ht="13.2" x14ac:dyDescent="0.25">
      <c r="D430" s="2"/>
      <c r="E430" s="2"/>
      <c r="F430" s="2"/>
      <c r="G430" s="2"/>
      <c r="H430" s="2"/>
      <c r="I430" s="2"/>
      <c r="J430" s="2"/>
      <c r="K430" s="2"/>
      <c r="L430" s="2"/>
      <c r="M430" s="2"/>
      <c r="N430" s="2"/>
      <c r="O430" s="2"/>
      <c r="P430" s="2"/>
      <c r="Q430" s="2"/>
      <c r="R430" s="2"/>
      <c r="S430" s="2"/>
      <c r="T430" s="2"/>
      <c r="U430" s="2"/>
      <c r="V430" s="22"/>
    </row>
    <row r="431" spans="4:22" ht="13.2" x14ac:dyDescent="0.25">
      <c r="D431" s="2"/>
      <c r="E431" s="2"/>
      <c r="F431" s="2"/>
      <c r="G431" s="2"/>
      <c r="H431" s="2"/>
      <c r="I431" s="2"/>
      <c r="J431" s="2"/>
      <c r="K431" s="2"/>
      <c r="L431" s="2"/>
      <c r="M431" s="2"/>
      <c r="N431" s="2"/>
      <c r="O431" s="2"/>
      <c r="P431" s="2"/>
      <c r="Q431" s="2"/>
      <c r="R431" s="2"/>
      <c r="S431" s="2"/>
      <c r="T431" s="2"/>
      <c r="U431" s="2"/>
      <c r="V431" s="22"/>
    </row>
    <row r="432" spans="4:22" ht="13.2" x14ac:dyDescent="0.25">
      <c r="D432" s="2"/>
      <c r="E432" s="2"/>
      <c r="F432" s="2"/>
      <c r="G432" s="2"/>
      <c r="H432" s="2"/>
      <c r="I432" s="2"/>
      <c r="J432" s="2"/>
      <c r="K432" s="2"/>
      <c r="L432" s="2"/>
      <c r="M432" s="2"/>
      <c r="N432" s="2"/>
      <c r="O432" s="2"/>
      <c r="P432" s="2"/>
      <c r="Q432" s="2"/>
      <c r="R432" s="2"/>
      <c r="S432" s="2"/>
      <c r="T432" s="2"/>
      <c r="U432" s="2"/>
      <c r="V432" s="22"/>
    </row>
    <row r="433" spans="4:22" ht="13.2" x14ac:dyDescent="0.25">
      <c r="D433" s="2"/>
      <c r="E433" s="2"/>
      <c r="F433" s="2"/>
      <c r="G433" s="2"/>
      <c r="H433" s="2"/>
      <c r="I433" s="2"/>
      <c r="J433" s="2"/>
      <c r="K433" s="2"/>
      <c r="L433" s="2"/>
      <c r="M433" s="2"/>
      <c r="N433" s="2"/>
      <c r="O433" s="2"/>
      <c r="P433" s="2"/>
      <c r="Q433" s="2"/>
      <c r="R433" s="2"/>
      <c r="S433" s="2"/>
      <c r="T433" s="2"/>
      <c r="U433" s="2"/>
      <c r="V433" s="22"/>
    </row>
    <row r="434" spans="4:22" ht="13.2" x14ac:dyDescent="0.25">
      <c r="D434" s="2"/>
      <c r="E434" s="2"/>
      <c r="F434" s="2"/>
      <c r="G434" s="2"/>
      <c r="H434" s="2"/>
      <c r="I434" s="2"/>
      <c r="J434" s="2"/>
      <c r="K434" s="2"/>
      <c r="L434" s="2"/>
      <c r="M434" s="2"/>
      <c r="N434" s="2"/>
      <c r="O434" s="2"/>
      <c r="P434" s="2"/>
      <c r="Q434" s="2"/>
      <c r="R434" s="2"/>
      <c r="S434" s="2"/>
      <c r="T434" s="2"/>
      <c r="U434" s="2"/>
      <c r="V434" s="22"/>
    </row>
    <row r="435" spans="4:22" ht="13.2" x14ac:dyDescent="0.25">
      <c r="D435" s="2"/>
      <c r="E435" s="2"/>
      <c r="F435" s="2"/>
      <c r="G435" s="2"/>
      <c r="H435" s="2"/>
      <c r="I435" s="2"/>
      <c r="J435" s="2"/>
      <c r="K435" s="2"/>
      <c r="L435" s="2"/>
      <c r="M435" s="2"/>
      <c r="N435" s="2"/>
      <c r="O435" s="2"/>
      <c r="P435" s="2"/>
      <c r="Q435" s="2"/>
      <c r="R435" s="2"/>
      <c r="S435" s="2"/>
      <c r="T435" s="2"/>
      <c r="U435" s="2"/>
      <c r="V435" s="22"/>
    </row>
    <row r="436" spans="4:22" ht="13.2" x14ac:dyDescent="0.25">
      <c r="D436" s="2"/>
      <c r="E436" s="2"/>
      <c r="F436" s="2"/>
      <c r="G436" s="2"/>
      <c r="H436" s="2"/>
      <c r="I436" s="2"/>
      <c r="J436" s="2"/>
      <c r="K436" s="2"/>
      <c r="L436" s="2"/>
      <c r="M436" s="2"/>
      <c r="N436" s="2"/>
      <c r="O436" s="2"/>
      <c r="P436" s="2"/>
      <c r="Q436" s="2"/>
      <c r="R436" s="2"/>
      <c r="S436" s="2"/>
      <c r="T436" s="2"/>
      <c r="U436" s="2"/>
      <c r="V436" s="22"/>
    </row>
    <row r="437" spans="4:22" ht="13.2" x14ac:dyDescent="0.25">
      <c r="D437" s="2"/>
      <c r="E437" s="2"/>
      <c r="F437" s="2"/>
      <c r="G437" s="2"/>
      <c r="H437" s="2"/>
      <c r="I437" s="2"/>
      <c r="J437" s="2"/>
      <c r="K437" s="2"/>
      <c r="L437" s="2"/>
      <c r="M437" s="2"/>
      <c r="N437" s="2"/>
      <c r="O437" s="2"/>
      <c r="P437" s="2"/>
      <c r="Q437" s="2"/>
      <c r="R437" s="2"/>
      <c r="S437" s="2"/>
      <c r="T437" s="2"/>
      <c r="U437" s="2"/>
      <c r="V437" s="22"/>
    </row>
    <row r="438" spans="4:22" ht="13.2" x14ac:dyDescent="0.25">
      <c r="D438" s="2"/>
      <c r="E438" s="2"/>
      <c r="F438" s="2"/>
      <c r="G438" s="2"/>
      <c r="H438" s="2"/>
      <c r="I438" s="2"/>
      <c r="J438" s="2"/>
      <c r="K438" s="2"/>
      <c r="L438" s="2"/>
      <c r="M438" s="2"/>
      <c r="N438" s="2"/>
      <c r="O438" s="2"/>
      <c r="P438" s="2"/>
      <c r="Q438" s="2"/>
      <c r="R438" s="2"/>
      <c r="S438" s="2"/>
      <c r="T438" s="2"/>
      <c r="U438" s="2"/>
      <c r="V438" s="22"/>
    </row>
    <row r="439" spans="4:22" ht="13.2" x14ac:dyDescent="0.25">
      <c r="D439" s="2"/>
      <c r="E439" s="2"/>
      <c r="F439" s="2"/>
      <c r="G439" s="2"/>
      <c r="H439" s="2"/>
      <c r="I439" s="2"/>
      <c r="J439" s="2"/>
      <c r="K439" s="2"/>
      <c r="L439" s="2"/>
      <c r="M439" s="2"/>
      <c r="N439" s="2"/>
      <c r="O439" s="2"/>
      <c r="P439" s="2"/>
      <c r="Q439" s="2"/>
      <c r="R439" s="2"/>
      <c r="S439" s="2"/>
      <c r="T439" s="2"/>
      <c r="U439" s="2"/>
      <c r="V439" s="22"/>
    </row>
    <row r="440" spans="4:22" ht="13.2" x14ac:dyDescent="0.25">
      <c r="D440" s="2"/>
      <c r="E440" s="2"/>
      <c r="F440" s="2"/>
      <c r="G440" s="2"/>
      <c r="H440" s="2"/>
      <c r="I440" s="2"/>
      <c r="J440" s="2"/>
      <c r="K440" s="2"/>
      <c r="L440" s="2"/>
      <c r="M440" s="2"/>
      <c r="N440" s="2"/>
      <c r="O440" s="2"/>
      <c r="P440" s="2"/>
      <c r="Q440" s="2"/>
      <c r="R440" s="2"/>
      <c r="S440" s="2"/>
      <c r="T440" s="2"/>
      <c r="U440" s="2"/>
      <c r="V440" s="22"/>
    </row>
    <row r="441" spans="4:22" ht="13.2" x14ac:dyDescent="0.25">
      <c r="D441" s="2"/>
      <c r="E441" s="2"/>
      <c r="F441" s="2"/>
      <c r="G441" s="2"/>
      <c r="H441" s="2"/>
      <c r="I441" s="2"/>
      <c r="J441" s="2"/>
      <c r="K441" s="2"/>
      <c r="L441" s="2"/>
      <c r="M441" s="2"/>
      <c r="N441" s="2"/>
      <c r="O441" s="2"/>
      <c r="P441" s="2"/>
      <c r="Q441" s="2"/>
      <c r="R441" s="2"/>
      <c r="S441" s="2"/>
      <c r="T441" s="2"/>
      <c r="U441" s="2"/>
      <c r="V441" s="22"/>
    </row>
    <row r="442" spans="4:22" ht="13.2" x14ac:dyDescent="0.25">
      <c r="D442" s="2"/>
      <c r="E442" s="2"/>
      <c r="F442" s="2"/>
      <c r="G442" s="2"/>
      <c r="H442" s="2"/>
      <c r="I442" s="2"/>
      <c r="J442" s="2"/>
      <c r="K442" s="2"/>
      <c r="L442" s="2"/>
      <c r="M442" s="2"/>
      <c r="N442" s="2"/>
      <c r="O442" s="2"/>
      <c r="P442" s="2"/>
      <c r="Q442" s="2"/>
      <c r="R442" s="2"/>
      <c r="S442" s="2"/>
      <c r="T442" s="2"/>
      <c r="U442" s="2"/>
      <c r="V442" s="22"/>
    </row>
    <row r="443" spans="4:22" ht="13.2" x14ac:dyDescent="0.25">
      <c r="D443" s="2"/>
      <c r="E443" s="2"/>
      <c r="F443" s="2"/>
      <c r="G443" s="2"/>
      <c r="H443" s="2"/>
      <c r="I443" s="2"/>
      <c r="J443" s="2"/>
      <c r="K443" s="2"/>
      <c r="L443" s="2"/>
      <c r="M443" s="2"/>
      <c r="N443" s="2"/>
      <c r="O443" s="2"/>
      <c r="P443" s="2"/>
      <c r="Q443" s="2"/>
      <c r="R443" s="2"/>
      <c r="S443" s="2"/>
      <c r="T443" s="2"/>
      <c r="U443" s="2"/>
      <c r="V443" s="22"/>
    </row>
    <row r="444" spans="4:22" ht="13.2" x14ac:dyDescent="0.25">
      <c r="D444" s="2"/>
      <c r="E444" s="2"/>
      <c r="F444" s="2"/>
      <c r="G444" s="2"/>
      <c r="H444" s="2"/>
      <c r="I444" s="2"/>
      <c r="J444" s="2"/>
      <c r="K444" s="2"/>
      <c r="L444" s="2"/>
      <c r="M444" s="2"/>
      <c r="N444" s="2"/>
      <c r="O444" s="2"/>
      <c r="P444" s="2"/>
      <c r="Q444" s="2"/>
      <c r="R444" s="2"/>
      <c r="S444" s="2"/>
      <c r="T444" s="2"/>
      <c r="U444" s="2"/>
      <c r="V444" s="22"/>
    </row>
    <row r="445" spans="4:22" ht="13.2" x14ac:dyDescent="0.25">
      <c r="D445" s="2"/>
      <c r="E445" s="2"/>
      <c r="F445" s="2"/>
      <c r="G445" s="2"/>
      <c r="H445" s="2"/>
      <c r="I445" s="2"/>
      <c r="J445" s="2"/>
      <c r="K445" s="2"/>
      <c r="L445" s="2"/>
      <c r="M445" s="2"/>
      <c r="N445" s="2"/>
      <c r="O445" s="2"/>
      <c r="P445" s="2"/>
      <c r="Q445" s="2"/>
      <c r="R445" s="2"/>
      <c r="S445" s="2"/>
      <c r="T445" s="2"/>
      <c r="U445" s="2"/>
      <c r="V445" s="22"/>
    </row>
    <row r="446" spans="4:22" ht="13.2" x14ac:dyDescent="0.25">
      <c r="D446" s="2"/>
      <c r="E446" s="2"/>
      <c r="F446" s="2"/>
      <c r="G446" s="2"/>
      <c r="H446" s="2"/>
      <c r="I446" s="2"/>
      <c r="J446" s="2"/>
      <c r="K446" s="2"/>
      <c r="L446" s="2"/>
      <c r="M446" s="2"/>
      <c r="N446" s="2"/>
      <c r="O446" s="2"/>
      <c r="P446" s="2"/>
      <c r="Q446" s="2"/>
      <c r="R446" s="2"/>
      <c r="S446" s="2"/>
      <c r="T446" s="2"/>
      <c r="U446" s="2"/>
      <c r="V446" s="22"/>
    </row>
    <row r="447" spans="4:22" ht="13.2" x14ac:dyDescent="0.25">
      <c r="D447" s="2"/>
      <c r="E447" s="2"/>
      <c r="F447" s="2"/>
      <c r="G447" s="2"/>
      <c r="H447" s="2"/>
      <c r="I447" s="2"/>
      <c r="J447" s="2"/>
      <c r="K447" s="2"/>
      <c r="L447" s="2"/>
      <c r="M447" s="2"/>
      <c r="N447" s="2"/>
      <c r="O447" s="2"/>
      <c r="P447" s="2"/>
      <c r="Q447" s="2"/>
      <c r="R447" s="2"/>
      <c r="S447" s="2"/>
      <c r="T447" s="2"/>
      <c r="U447" s="2"/>
      <c r="V447" s="22"/>
    </row>
    <row r="448" spans="4:22" ht="13.2" x14ac:dyDescent="0.25">
      <c r="D448" s="2"/>
      <c r="E448" s="2"/>
      <c r="F448" s="2"/>
      <c r="G448" s="2"/>
      <c r="H448" s="2"/>
      <c r="I448" s="2"/>
      <c r="J448" s="2"/>
      <c r="K448" s="2"/>
      <c r="L448" s="2"/>
      <c r="M448" s="2"/>
      <c r="N448" s="2"/>
      <c r="O448" s="2"/>
      <c r="P448" s="2"/>
      <c r="Q448" s="2"/>
      <c r="R448" s="2"/>
      <c r="S448" s="2"/>
      <c r="T448" s="2"/>
      <c r="U448" s="2"/>
      <c r="V448" s="22"/>
    </row>
    <row r="449" spans="4:22" ht="13.2" x14ac:dyDescent="0.25">
      <c r="D449" s="2"/>
      <c r="E449" s="2"/>
      <c r="F449" s="2"/>
      <c r="G449" s="2"/>
      <c r="H449" s="2"/>
      <c r="I449" s="2"/>
      <c r="J449" s="2"/>
      <c r="K449" s="2"/>
      <c r="L449" s="2"/>
      <c r="M449" s="2"/>
      <c r="N449" s="2"/>
      <c r="O449" s="2"/>
      <c r="P449" s="2"/>
      <c r="Q449" s="2"/>
      <c r="R449" s="2"/>
      <c r="S449" s="2"/>
      <c r="T449" s="2"/>
      <c r="U449" s="2"/>
      <c r="V449" s="22"/>
    </row>
    <row r="450" spans="4:22" ht="13.2" x14ac:dyDescent="0.25">
      <c r="D450" s="2"/>
      <c r="E450" s="2"/>
      <c r="F450" s="2"/>
      <c r="G450" s="2"/>
      <c r="H450" s="2"/>
      <c r="I450" s="2"/>
      <c r="J450" s="2"/>
      <c r="K450" s="2"/>
      <c r="L450" s="2"/>
      <c r="M450" s="2"/>
      <c r="N450" s="2"/>
      <c r="O450" s="2"/>
      <c r="P450" s="2"/>
      <c r="Q450" s="2"/>
      <c r="R450" s="2"/>
      <c r="S450" s="2"/>
      <c r="T450" s="2"/>
      <c r="U450" s="2"/>
      <c r="V450" s="22"/>
    </row>
    <row r="451" spans="4:22" ht="13.2" x14ac:dyDescent="0.25">
      <c r="D451" s="2"/>
      <c r="E451" s="2"/>
      <c r="F451" s="2"/>
      <c r="G451" s="2"/>
      <c r="H451" s="2"/>
      <c r="I451" s="2"/>
      <c r="J451" s="2"/>
      <c r="K451" s="2"/>
      <c r="L451" s="2"/>
      <c r="M451" s="2"/>
      <c r="N451" s="2"/>
      <c r="O451" s="2"/>
      <c r="P451" s="2"/>
      <c r="Q451" s="2"/>
      <c r="R451" s="2"/>
      <c r="S451" s="2"/>
      <c r="T451" s="2"/>
      <c r="U451" s="2"/>
      <c r="V451" s="22"/>
    </row>
    <row r="452" spans="4:22" ht="13.2" x14ac:dyDescent="0.25">
      <c r="D452" s="2"/>
      <c r="E452" s="2"/>
      <c r="F452" s="2"/>
      <c r="G452" s="2"/>
      <c r="H452" s="2"/>
      <c r="I452" s="2"/>
      <c r="J452" s="2"/>
      <c r="K452" s="2"/>
      <c r="L452" s="2"/>
      <c r="M452" s="2"/>
      <c r="N452" s="2"/>
      <c r="O452" s="2"/>
      <c r="P452" s="2"/>
      <c r="Q452" s="2"/>
      <c r="R452" s="2"/>
      <c r="S452" s="2"/>
      <c r="T452" s="2"/>
      <c r="U452" s="2"/>
      <c r="V452" s="22"/>
    </row>
    <row r="453" spans="4:22" ht="13.2" x14ac:dyDescent="0.25">
      <c r="D453" s="2"/>
      <c r="E453" s="2"/>
      <c r="F453" s="2"/>
      <c r="G453" s="2"/>
      <c r="H453" s="2"/>
      <c r="I453" s="2"/>
      <c r="J453" s="2"/>
      <c r="K453" s="2"/>
      <c r="L453" s="2"/>
      <c r="M453" s="2"/>
      <c r="N453" s="2"/>
      <c r="O453" s="2"/>
      <c r="P453" s="2"/>
      <c r="Q453" s="2"/>
      <c r="R453" s="2"/>
      <c r="S453" s="2"/>
      <c r="T453" s="2"/>
      <c r="U453" s="2"/>
      <c r="V453" s="22"/>
    </row>
    <row r="454" spans="4:22" ht="13.2" x14ac:dyDescent="0.25">
      <c r="D454" s="2"/>
      <c r="E454" s="2"/>
      <c r="F454" s="2"/>
      <c r="G454" s="2"/>
      <c r="H454" s="2"/>
      <c r="I454" s="2"/>
      <c r="J454" s="2"/>
      <c r="K454" s="2"/>
      <c r="L454" s="2"/>
      <c r="M454" s="2"/>
      <c r="N454" s="2"/>
      <c r="O454" s="2"/>
      <c r="P454" s="2"/>
      <c r="Q454" s="2"/>
      <c r="R454" s="2"/>
      <c r="S454" s="2"/>
      <c r="T454" s="2"/>
      <c r="U454" s="2"/>
      <c r="V454" s="22"/>
    </row>
    <row r="455" spans="4:22" ht="13.2" x14ac:dyDescent="0.25">
      <c r="D455" s="2"/>
      <c r="E455" s="2"/>
      <c r="F455" s="2"/>
      <c r="G455" s="2"/>
      <c r="H455" s="2"/>
      <c r="I455" s="2"/>
      <c r="J455" s="2"/>
      <c r="K455" s="2"/>
      <c r="L455" s="2"/>
      <c r="M455" s="2"/>
      <c r="N455" s="2"/>
      <c r="O455" s="2"/>
      <c r="P455" s="2"/>
      <c r="Q455" s="2"/>
      <c r="R455" s="2"/>
      <c r="S455" s="2"/>
      <c r="T455" s="2"/>
      <c r="U455" s="2"/>
      <c r="V455" s="22"/>
    </row>
    <row r="456" spans="4:22" ht="13.2" x14ac:dyDescent="0.25">
      <c r="D456" s="2"/>
      <c r="E456" s="2"/>
      <c r="F456" s="2"/>
      <c r="G456" s="2"/>
      <c r="H456" s="2"/>
      <c r="I456" s="2"/>
      <c r="J456" s="2"/>
      <c r="K456" s="2"/>
      <c r="L456" s="2"/>
      <c r="M456" s="2"/>
      <c r="N456" s="2"/>
      <c r="O456" s="2"/>
      <c r="P456" s="2"/>
      <c r="Q456" s="2"/>
      <c r="R456" s="2"/>
      <c r="S456" s="2"/>
      <c r="T456" s="2"/>
      <c r="U456" s="2"/>
      <c r="V456" s="22"/>
    </row>
    <row r="457" spans="4:22" ht="13.2" x14ac:dyDescent="0.25">
      <c r="D457" s="2"/>
      <c r="E457" s="2"/>
      <c r="F457" s="2"/>
      <c r="G457" s="2"/>
      <c r="H457" s="2"/>
      <c r="I457" s="2"/>
      <c r="J457" s="2"/>
      <c r="K457" s="2"/>
      <c r="L457" s="2"/>
      <c r="M457" s="2"/>
      <c r="N457" s="2"/>
      <c r="O457" s="2"/>
      <c r="P457" s="2"/>
      <c r="Q457" s="2"/>
      <c r="R457" s="2"/>
      <c r="S457" s="2"/>
      <c r="T457" s="2"/>
      <c r="U457" s="2"/>
      <c r="V457" s="22"/>
    </row>
    <row r="458" spans="4:22" ht="13.2" x14ac:dyDescent="0.25">
      <c r="D458" s="2"/>
      <c r="E458" s="2"/>
      <c r="F458" s="2"/>
      <c r="G458" s="2"/>
      <c r="H458" s="2"/>
      <c r="I458" s="2"/>
      <c r="J458" s="2"/>
      <c r="K458" s="2"/>
      <c r="L458" s="2"/>
      <c r="M458" s="2"/>
      <c r="N458" s="2"/>
      <c r="O458" s="2"/>
      <c r="P458" s="2"/>
      <c r="Q458" s="2"/>
      <c r="R458" s="2"/>
      <c r="S458" s="2"/>
      <c r="T458" s="2"/>
      <c r="U458" s="2"/>
      <c r="V458" s="22"/>
    </row>
    <row r="459" spans="4:22" ht="13.2" x14ac:dyDescent="0.25">
      <c r="D459" s="2"/>
      <c r="E459" s="2"/>
      <c r="F459" s="2"/>
      <c r="G459" s="2"/>
      <c r="H459" s="2"/>
      <c r="I459" s="2"/>
      <c r="J459" s="2"/>
      <c r="K459" s="2"/>
      <c r="L459" s="2"/>
      <c r="M459" s="2"/>
      <c r="N459" s="2"/>
      <c r="O459" s="2"/>
      <c r="P459" s="2"/>
      <c r="Q459" s="2"/>
      <c r="R459" s="2"/>
      <c r="S459" s="2"/>
      <c r="T459" s="2"/>
      <c r="U459" s="2"/>
      <c r="V459" s="22"/>
    </row>
    <row r="460" spans="4:22" ht="13.2" x14ac:dyDescent="0.25">
      <c r="D460" s="2"/>
      <c r="E460" s="2"/>
      <c r="F460" s="2"/>
      <c r="G460" s="2"/>
      <c r="H460" s="2"/>
      <c r="I460" s="2"/>
      <c r="J460" s="2"/>
      <c r="K460" s="2"/>
      <c r="L460" s="2"/>
      <c r="M460" s="2"/>
      <c r="N460" s="2"/>
      <c r="O460" s="2"/>
      <c r="P460" s="2"/>
      <c r="Q460" s="2"/>
      <c r="R460" s="2"/>
      <c r="S460" s="2"/>
      <c r="T460" s="2"/>
      <c r="U460" s="2"/>
      <c r="V460" s="22"/>
    </row>
    <row r="461" spans="4:22" ht="13.2" x14ac:dyDescent="0.25">
      <c r="D461" s="2"/>
      <c r="E461" s="2"/>
      <c r="F461" s="2"/>
      <c r="G461" s="2"/>
      <c r="H461" s="2"/>
      <c r="I461" s="2"/>
      <c r="J461" s="2"/>
      <c r="K461" s="2"/>
      <c r="L461" s="2"/>
      <c r="M461" s="2"/>
      <c r="N461" s="2"/>
      <c r="O461" s="2"/>
      <c r="P461" s="2"/>
      <c r="Q461" s="2"/>
      <c r="R461" s="2"/>
      <c r="S461" s="2"/>
      <c r="T461" s="2"/>
      <c r="U461" s="2"/>
      <c r="V461" s="22"/>
    </row>
    <row r="462" spans="4:22" ht="13.2" x14ac:dyDescent="0.25">
      <c r="D462" s="2"/>
      <c r="E462" s="2"/>
      <c r="F462" s="2"/>
      <c r="G462" s="2"/>
      <c r="H462" s="2"/>
      <c r="I462" s="2"/>
      <c r="J462" s="2"/>
      <c r="K462" s="2"/>
      <c r="L462" s="2"/>
      <c r="M462" s="2"/>
      <c r="N462" s="2"/>
      <c r="O462" s="2"/>
      <c r="P462" s="2"/>
      <c r="Q462" s="2"/>
      <c r="R462" s="2"/>
      <c r="S462" s="2"/>
      <c r="T462" s="2"/>
      <c r="U462" s="2"/>
      <c r="V462" s="22"/>
    </row>
    <row r="463" spans="4:22" ht="13.2" x14ac:dyDescent="0.25">
      <c r="D463" s="2"/>
      <c r="E463" s="2"/>
      <c r="F463" s="2"/>
      <c r="G463" s="2"/>
      <c r="H463" s="2"/>
      <c r="I463" s="2"/>
      <c r="J463" s="2"/>
      <c r="K463" s="2"/>
      <c r="L463" s="2"/>
      <c r="M463" s="2"/>
      <c r="N463" s="2"/>
      <c r="O463" s="2"/>
      <c r="P463" s="2"/>
      <c r="Q463" s="2"/>
      <c r="R463" s="2"/>
      <c r="S463" s="2"/>
      <c r="T463" s="2"/>
      <c r="U463" s="2"/>
      <c r="V463" s="22"/>
    </row>
    <row r="464" spans="4:22" ht="13.2" x14ac:dyDescent="0.25">
      <c r="D464" s="2"/>
      <c r="E464" s="2"/>
      <c r="F464" s="2"/>
      <c r="G464" s="2"/>
      <c r="H464" s="2"/>
      <c r="I464" s="2"/>
      <c r="J464" s="2"/>
      <c r="K464" s="2"/>
      <c r="L464" s="2"/>
      <c r="M464" s="2"/>
      <c r="N464" s="2"/>
      <c r="O464" s="2"/>
      <c r="P464" s="2"/>
      <c r="Q464" s="2"/>
      <c r="R464" s="2"/>
      <c r="S464" s="2"/>
      <c r="T464" s="2"/>
      <c r="U464" s="2"/>
      <c r="V464" s="22"/>
    </row>
    <row r="465" spans="4:22" ht="13.2" x14ac:dyDescent="0.25">
      <c r="D465" s="2"/>
      <c r="E465" s="2"/>
      <c r="F465" s="2"/>
      <c r="G465" s="2"/>
      <c r="H465" s="2"/>
      <c r="I465" s="2"/>
      <c r="J465" s="2"/>
      <c r="K465" s="2"/>
      <c r="L465" s="2"/>
      <c r="M465" s="2"/>
      <c r="N465" s="2"/>
      <c r="O465" s="2"/>
      <c r="P465" s="2"/>
      <c r="Q465" s="2"/>
      <c r="R465" s="2"/>
      <c r="S465" s="2"/>
      <c r="T465" s="2"/>
      <c r="U465" s="2"/>
      <c r="V465" s="22"/>
    </row>
    <row r="466" spans="4:22" ht="13.2" x14ac:dyDescent="0.25">
      <c r="D466" s="2"/>
      <c r="E466" s="2"/>
      <c r="F466" s="2"/>
      <c r="G466" s="2"/>
      <c r="H466" s="2"/>
      <c r="I466" s="2"/>
      <c r="J466" s="2"/>
      <c r="K466" s="2"/>
      <c r="L466" s="2"/>
      <c r="M466" s="2"/>
      <c r="N466" s="2"/>
      <c r="O466" s="2"/>
      <c r="P466" s="2"/>
      <c r="Q466" s="2"/>
      <c r="R466" s="2"/>
      <c r="S466" s="2"/>
      <c r="T466" s="2"/>
      <c r="U466" s="2"/>
      <c r="V466" s="22"/>
    </row>
    <row r="467" spans="4:22" ht="13.2" x14ac:dyDescent="0.25">
      <c r="D467" s="2"/>
      <c r="E467" s="2"/>
      <c r="F467" s="2"/>
      <c r="G467" s="2"/>
      <c r="H467" s="2"/>
      <c r="I467" s="2"/>
      <c r="J467" s="2"/>
      <c r="K467" s="2"/>
      <c r="L467" s="2"/>
      <c r="M467" s="2"/>
      <c r="N467" s="2"/>
      <c r="O467" s="2"/>
      <c r="P467" s="2"/>
      <c r="Q467" s="2"/>
      <c r="R467" s="2"/>
      <c r="S467" s="2"/>
      <c r="T467" s="2"/>
      <c r="U467" s="2"/>
      <c r="V467" s="22"/>
    </row>
    <row r="468" spans="4:22" ht="13.2" x14ac:dyDescent="0.25">
      <c r="D468" s="2"/>
      <c r="E468" s="2"/>
      <c r="F468" s="2"/>
      <c r="G468" s="2"/>
      <c r="H468" s="2"/>
      <c r="I468" s="2"/>
      <c r="J468" s="2"/>
      <c r="K468" s="2"/>
      <c r="L468" s="2"/>
      <c r="M468" s="2"/>
      <c r="N468" s="2"/>
      <c r="O468" s="2"/>
      <c r="P468" s="2"/>
      <c r="Q468" s="2"/>
      <c r="R468" s="2"/>
      <c r="S468" s="2"/>
      <c r="T468" s="2"/>
      <c r="U468" s="2"/>
      <c r="V468" s="22"/>
    </row>
    <row r="469" spans="4:22" ht="13.2" x14ac:dyDescent="0.25">
      <c r="D469" s="2"/>
      <c r="E469" s="2"/>
      <c r="F469" s="2"/>
      <c r="G469" s="2"/>
      <c r="H469" s="2"/>
      <c r="I469" s="2"/>
      <c r="J469" s="2"/>
      <c r="K469" s="2"/>
      <c r="L469" s="2"/>
      <c r="M469" s="2"/>
      <c r="N469" s="2"/>
      <c r="O469" s="2"/>
      <c r="P469" s="2"/>
      <c r="Q469" s="2"/>
      <c r="R469" s="2"/>
      <c r="S469" s="2"/>
      <c r="T469" s="2"/>
      <c r="U469" s="2"/>
      <c r="V469" s="22"/>
    </row>
    <row r="470" spans="4:22" ht="13.2" x14ac:dyDescent="0.25">
      <c r="D470" s="2"/>
      <c r="E470" s="2"/>
      <c r="F470" s="2"/>
      <c r="G470" s="2"/>
      <c r="H470" s="2"/>
      <c r="I470" s="2"/>
      <c r="J470" s="2"/>
      <c r="K470" s="2"/>
      <c r="L470" s="2"/>
      <c r="M470" s="2"/>
      <c r="N470" s="2"/>
      <c r="O470" s="2"/>
      <c r="P470" s="2"/>
      <c r="Q470" s="2"/>
      <c r="R470" s="2"/>
      <c r="S470" s="2"/>
      <c r="T470" s="2"/>
      <c r="U470" s="2"/>
      <c r="V470" s="22"/>
    </row>
    <row r="471" spans="4:22" ht="13.2" x14ac:dyDescent="0.25">
      <c r="D471" s="2"/>
      <c r="E471" s="2"/>
      <c r="F471" s="2"/>
      <c r="G471" s="2"/>
      <c r="H471" s="2"/>
      <c r="I471" s="2"/>
      <c r="J471" s="2"/>
      <c r="K471" s="2"/>
      <c r="L471" s="2"/>
      <c r="M471" s="2"/>
      <c r="N471" s="2"/>
      <c r="O471" s="2"/>
      <c r="P471" s="2"/>
      <c r="Q471" s="2"/>
      <c r="R471" s="2"/>
      <c r="S471" s="2"/>
      <c r="T471" s="2"/>
      <c r="U471" s="2"/>
      <c r="V471" s="22"/>
    </row>
    <row r="472" spans="4:22" ht="13.2" x14ac:dyDescent="0.25">
      <c r="D472" s="2"/>
      <c r="E472" s="2"/>
      <c r="F472" s="2"/>
      <c r="G472" s="2"/>
      <c r="H472" s="2"/>
      <c r="I472" s="2"/>
      <c r="J472" s="2"/>
      <c r="K472" s="2"/>
      <c r="L472" s="2"/>
      <c r="M472" s="2"/>
      <c r="N472" s="2"/>
      <c r="O472" s="2"/>
      <c r="P472" s="2"/>
      <c r="Q472" s="2"/>
      <c r="R472" s="2"/>
      <c r="S472" s="2"/>
      <c r="T472" s="2"/>
      <c r="U472" s="2"/>
      <c r="V472" s="22"/>
    </row>
    <row r="473" spans="4:22" ht="13.2" x14ac:dyDescent="0.25">
      <c r="D473" s="2"/>
      <c r="E473" s="2"/>
      <c r="F473" s="2"/>
      <c r="G473" s="2"/>
      <c r="H473" s="2"/>
      <c r="I473" s="2"/>
      <c r="J473" s="2"/>
      <c r="K473" s="2"/>
      <c r="L473" s="2"/>
      <c r="M473" s="2"/>
      <c r="N473" s="2"/>
      <c r="O473" s="2"/>
      <c r="P473" s="2"/>
      <c r="Q473" s="2"/>
      <c r="R473" s="2"/>
      <c r="S473" s="2"/>
      <c r="T473" s="2"/>
      <c r="U473" s="2"/>
      <c r="V473" s="22"/>
    </row>
    <row r="474" spans="4:22" ht="13.2" x14ac:dyDescent="0.25">
      <c r="D474" s="2"/>
      <c r="E474" s="2"/>
      <c r="F474" s="2"/>
      <c r="G474" s="2"/>
      <c r="H474" s="2"/>
      <c r="I474" s="2"/>
      <c r="J474" s="2"/>
      <c r="K474" s="2"/>
      <c r="L474" s="2"/>
      <c r="M474" s="2"/>
      <c r="N474" s="2"/>
      <c r="O474" s="2"/>
      <c r="P474" s="2"/>
      <c r="Q474" s="2"/>
      <c r="R474" s="2"/>
      <c r="S474" s="2"/>
      <c r="T474" s="2"/>
      <c r="U474" s="2"/>
      <c r="V474" s="22"/>
    </row>
    <row r="475" spans="4:22" ht="13.2" x14ac:dyDescent="0.25">
      <c r="D475" s="2"/>
      <c r="E475" s="2"/>
      <c r="F475" s="2"/>
      <c r="G475" s="2"/>
      <c r="H475" s="2"/>
      <c r="I475" s="2"/>
      <c r="J475" s="2"/>
      <c r="K475" s="2"/>
      <c r="L475" s="2"/>
      <c r="M475" s="2"/>
      <c r="N475" s="2"/>
      <c r="O475" s="2"/>
      <c r="P475" s="2"/>
      <c r="Q475" s="2"/>
      <c r="R475" s="2"/>
      <c r="S475" s="2"/>
      <c r="T475" s="2"/>
      <c r="U475" s="2"/>
      <c r="V475" s="22"/>
    </row>
    <row r="476" spans="4:22" ht="13.2" x14ac:dyDescent="0.25">
      <c r="D476" s="2"/>
      <c r="E476" s="2"/>
      <c r="F476" s="2"/>
      <c r="G476" s="2"/>
      <c r="H476" s="2"/>
      <c r="I476" s="2"/>
      <c r="J476" s="2"/>
      <c r="K476" s="2"/>
      <c r="L476" s="2"/>
      <c r="M476" s="2"/>
      <c r="N476" s="2"/>
      <c r="O476" s="2"/>
      <c r="P476" s="2"/>
      <c r="Q476" s="2"/>
      <c r="R476" s="2"/>
      <c r="S476" s="2"/>
      <c r="T476" s="2"/>
      <c r="U476" s="2"/>
      <c r="V476" s="22"/>
    </row>
    <row r="477" spans="4:22" ht="13.2" x14ac:dyDescent="0.25">
      <c r="D477" s="2"/>
      <c r="E477" s="2"/>
      <c r="F477" s="2"/>
      <c r="G477" s="2"/>
      <c r="H477" s="2"/>
      <c r="I477" s="2"/>
      <c r="J477" s="2"/>
      <c r="K477" s="2"/>
      <c r="L477" s="2"/>
      <c r="M477" s="2"/>
      <c r="N477" s="2"/>
      <c r="O477" s="2"/>
      <c r="P477" s="2"/>
      <c r="Q477" s="2"/>
      <c r="R477" s="2"/>
      <c r="S477" s="2"/>
      <c r="T477" s="2"/>
      <c r="U477" s="2"/>
      <c r="V477" s="22"/>
    </row>
    <row r="478" spans="4:22" ht="13.2" x14ac:dyDescent="0.25">
      <c r="D478" s="2"/>
      <c r="E478" s="2"/>
      <c r="F478" s="2"/>
      <c r="G478" s="2"/>
      <c r="H478" s="2"/>
      <c r="I478" s="2"/>
      <c r="J478" s="2"/>
      <c r="K478" s="2"/>
      <c r="L478" s="2"/>
      <c r="M478" s="2"/>
      <c r="N478" s="2"/>
      <c r="O478" s="2"/>
      <c r="P478" s="2"/>
      <c r="Q478" s="2"/>
      <c r="R478" s="2"/>
      <c r="S478" s="2"/>
      <c r="T478" s="2"/>
      <c r="U478" s="2"/>
      <c r="V478" s="22"/>
    </row>
    <row r="479" spans="4:22" ht="13.2" x14ac:dyDescent="0.25">
      <c r="D479" s="2"/>
      <c r="E479" s="2"/>
      <c r="F479" s="2"/>
      <c r="G479" s="2"/>
      <c r="H479" s="2"/>
      <c r="I479" s="2"/>
      <c r="J479" s="2"/>
      <c r="K479" s="2"/>
      <c r="L479" s="2"/>
      <c r="M479" s="2"/>
      <c r="N479" s="2"/>
      <c r="O479" s="2"/>
      <c r="P479" s="2"/>
      <c r="Q479" s="2"/>
      <c r="R479" s="2"/>
      <c r="S479" s="2"/>
      <c r="T479" s="2"/>
      <c r="U479" s="2"/>
      <c r="V479" s="22"/>
    </row>
    <row r="480" spans="4:22" ht="13.2" x14ac:dyDescent="0.25">
      <c r="D480" s="2"/>
      <c r="E480" s="2"/>
      <c r="F480" s="2"/>
      <c r="G480" s="2"/>
      <c r="H480" s="2"/>
      <c r="I480" s="2"/>
      <c r="J480" s="2"/>
      <c r="K480" s="2"/>
      <c r="L480" s="2"/>
      <c r="M480" s="2"/>
      <c r="N480" s="2"/>
      <c r="O480" s="2"/>
      <c r="P480" s="2"/>
      <c r="Q480" s="2"/>
      <c r="R480" s="2"/>
      <c r="S480" s="2"/>
      <c r="T480" s="2"/>
      <c r="U480" s="2"/>
      <c r="V480" s="22"/>
    </row>
    <row r="481" spans="4:22" ht="13.2" x14ac:dyDescent="0.25">
      <c r="D481" s="2"/>
      <c r="E481" s="2"/>
      <c r="F481" s="2"/>
      <c r="G481" s="2"/>
      <c r="H481" s="2"/>
      <c r="I481" s="2"/>
      <c r="J481" s="2"/>
      <c r="K481" s="2"/>
      <c r="L481" s="2"/>
      <c r="M481" s="2"/>
      <c r="N481" s="2"/>
      <c r="O481" s="2"/>
      <c r="P481" s="2"/>
      <c r="Q481" s="2"/>
      <c r="R481" s="2"/>
      <c r="S481" s="2"/>
      <c r="T481" s="2"/>
      <c r="U481" s="2"/>
      <c r="V481" s="22"/>
    </row>
    <row r="482" spans="4:22" ht="13.2" x14ac:dyDescent="0.25">
      <c r="D482" s="2"/>
      <c r="E482" s="2"/>
      <c r="F482" s="2"/>
      <c r="G482" s="2"/>
      <c r="H482" s="2"/>
      <c r="I482" s="2"/>
      <c r="J482" s="2"/>
      <c r="K482" s="2"/>
      <c r="L482" s="2"/>
      <c r="M482" s="2"/>
      <c r="N482" s="2"/>
      <c r="O482" s="2"/>
      <c r="P482" s="2"/>
      <c r="Q482" s="2"/>
      <c r="R482" s="2"/>
      <c r="S482" s="2"/>
      <c r="T482" s="2"/>
      <c r="U482" s="2"/>
      <c r="V482" s="22"/>
    </row>
    <row r="483" spans="4:22" ht="13.2" x14ac:dyDescent="0.25">
      <c r="D483" s="2"/>
      <c r="E483" s="2"/>
      <c r="F483" s="2"/>
      <c r="G483" s="2"/>
      <c r="H483" s="2"/>
      <c r="I483" s="2"/>
      <c r="J483" s="2"/>
      <c r="K483" s="2"/>
      <c r="L483" s="2"/>
      <c r="M483" s="2"/>
      <c r="N483" s="2"/>
      <c r="O483" s="2"/>
      <c r="P483" s="2"/>
      <c r="Q483" s="2"/>
      <c r="R483" s="2"/>
      <c r="S483" s="2"/>
      <c r="T483" s="2"/>
      <c r="U483" s="2"/>
      <c r="V483" s="22"/>
    </row>
    <row r="484" spans="4:22" ht="13.2" x14ac:dyDescent="0.25">
      <c r="D484" s="2"/>
      <c r="E484" s="2"/>
      <c r="F484" s="2"/>
      <c r="G484" s="2"/>
      <c r="H484" s="2"/>
      <c r="I484" s="2"/>
      <c r="J484" s="2"/>
      <c r="K484" s="2"/>
      <c r="L484" s="2"/>
      <c r="M484" s="2"/>
      <c r="N484" s="2"/>
      <c r="O484" s="2"/>
      <c r="P484" s="2"/>
      <c r="Q484" s="2"/>
      <c r="R484" s="2"/>
      <c r="S484" s="2"/>
      <c r="T484" s="2"/>
      <c r="U484" s="2"/>
      <c r="V484" s="22"/>
    </row>
    <row r="485" spans="4:22" ht="13.2" x14ac:dyDescent="0.25">
      <c r="D485" s="2"/>
      <c r="E485" s="2"/>
      <c r="F485" s="2"/>
      <c r="G485" s="2"/>
      <c r="H485" s="2"/>
      <c r="I485" s="2"/>
      <c r="J485" s="2"/>
      <c r="K485" s="2"/>
      <c r="L485" s="2"/>
      <c r="M485" s="2"/>
      <c r="N485" s="2"/>
      <c r="O485" s="2"/>
      <c r="P485" s="2"/>
      <c r="Q485" s="2"/>
      <c r="R485" s="2"/>
      <c r="S485" s="2"/>
      <c r="T485" s="2"/>
      <c r="U485" s="2"/>
      <c r="V485" s="22"/>
    </row>
    <row r="486" spans="4:22" ht="13.2" x14ac:dyDescent="0.25">
      <c r="D486" s="2"/>
      <c r="E486" s="2"/>
      <c r="F486" s="2"/>
      <c r="G486" s="2"/>
      <c r="H486" s="2"/>
      <c r="I486" s="2"/>
      <c r="J486" s="2"/>
      <c r="K486" s="2"/>
      <c r="L486" s="2"/>
      <c r="M486" s="2"/>
      <c r="N486" s="2"/>
      <c r="O486" s="2"/>
      <c r="P486" s="2"/>
      <c r="Q486" s="2"/>
      <c r="R486" s="2"/>
      <c r="S486" s="2"/>
      <c r="T486" s="2"/>
      <c r="U486" s="2"/>
      <c r="V486" s="22"/>
    </row>
    <row r="487" spans="4:22" ht="13.2" x14ac:dyDescent="0.25">
      <c r="D487" s="2"/>
      <c r="E487" s="2"/>
      <c r="F487" s="2"/>
      <c r="G487" s="2"/>
      <c r="H487" s="2"/>
      <c r="I487" s="2"/>
      <c r="J487" s="2"/>
      <c r="K487" s="2"/>
      <c r="L487" s="2"/>
      <c r="M487" s="2"/>
      <c r="N487" s="2"/>
      <c r="O487" s="2"/>
      <c r="P487" s="2"/>
      <c r="Q487" s="2"/>
      <c r="R487" s="2"/>
      <c r="S487" s="2"/>
      <c r="T487" s="2"/>
      <c r="U487" s="2"/>
      <c r="V487" s="22"/>
    </row>
    <row r="488" spans="4:22" ht="13.2" x14ac:dyDescent="0.25">
      <c r="D488" s="2"/>
      <c r="E488" s="2"/>
      <c r="F488" s="2"/>
      <c r="G488" s="2"/>
      <c r="H488" s="2"/>
      <c r="I488" s="2"/>
      <c r="J488" s="2"/>
      <c r="K488" s="2"/>
      <c r="L488" s="2"/>
      <c r="M488" s="2"/>
      <c r="N488" s="2"/>
      <c r="O488" s="2"/>
      <c r="P488" s="2"/>
      <c r="Q488" s="2"/>
      <c r="R488" s="2"/>
      <c r="S488" s="2"/>
      <c r="T488" s="2"/>
      <c r="U488" s="2"/>
      <c r="V488" s="22"/>
    </row>
    <row r="489" spans="4:22" ht="13.2" x14ac:dyDescent="0.25">
      <c r="D489" s="2"/>
      <c r="E489" s="2"/>
      <c r="F489" s="2"/>
      <c r="G489" s="2"/>
      <c r="H489" s="2"/>
      <c r="I489" s="2"/>
      <c r="J489" s="2"/>
      <c r="K489" s="2"/>
      <c r="L489" s="2"/>
      <c r="M489" s="2"/>
      <c r="N489" s="2"/>
      <c r="O489" s="2"/>
      <c r="P489" s="2"/>
      <c r="Q489" s="2"/>
      <c r="R489" s="2"/>
      <c r="S489" s="2"/>
      <c r="T489" s="2"/>
      <c r="U489" s="2"/>
      <c r="V489" s="22"/>
    </row>
    <row r="490" spans="4:22" ht="13.2" x14ac:dyDescent="0.25">
      <c r="D490" s="2"/>
      <c r="E490" s="2"/>
      <c r="F490" s="2"/>
      <c r="G490" s="2"/>
      <c r="H490" s="2"/>
      <c r="I490" s="2"/>
      <c r="J490" s="2"/>
      <c r="K490" s="2"/>
      <c r="L490" s="2"/>
      <c r="M490" s="2"/>
      <c r="N490" s="2"/>
      <c r="O490" s="2"/>
      <c r="P490" s="2"/>
      <c r="Q490" s="2"/>
      <c r="R490" s="2"/>
      <c r="S490" s="2"/>
      <c r="T490" s="2"/>
      <c r="U490" s="2"/>
      <c r="V490" s="22"/>
    </row>
    <row r="491" spans="4:22" ht="13.2" x14ac:dyDescent="0.25">
      <c r="D491" s="2"/>
      <c r="E491" s="2"/>
      <c r="F491" s="2"/>
      <c r="G491" s="2"/>
      <c r="H491" s="2"/>
      <c r="I491" s="2"/>
      <c r="J491" s="2"/>
      <c r="K491" s="2"/>
      <c r="L491" s="2"/>
      <c r="M491" s="2"/>
      <c r="N491" s="2"/>
      <c r="O491" s="2"/>
      <c r="P491" s="2"/>
      <c r="Q491" s="2"/>
      <c r="R491" s="2"/>
      <c r="S491" s="2"/>
      <c r="T491" s="2"/>
      <c r="U491" s="2"/>
      <c r="V491" s="22"/>
    </row>
    <row r="492" spans="4:22" ht="13.2" x14ac:dyDescent="0.25">
      <c r="D492" s="2"/>
      <c r="E492" s="2"/>
      <c r="F492" s="2"/>
      <c r="G492" s="2"/>
      <c r="H492" s="2"/>
      <c r="I492" s="2"/>
      <c r="J492" s="2"/>
      <c r="K492" s="2"/>
      <c r="L492" s="2"/>
      <c r="M492" s="2"/>
      <c r="N492" s="2"/>
      <c r="O492" s="2"/>
      <c r="P492" s="2"/>
      <c r="Q492" s="2"/>
      <c r="R492" s="2"/>
      <c r="S492" s="2"/>
      <c r="T492" s="2"/>
      <c r="U492" s="2"/>
      <c r="V492" s="22"/>
    </row>
    <row r="493" spans="4:22" ht="13.2" x14ac:dyDescent="0.25">
      <c r="D493" s="2"/>
      <c r="E493" s="2"/>
      <c r="F493" s="2"/>
      <c r="G493" s="2"/>
      <c r="H493" s="2"/>
      <c r="I493" s="2"/>
      <c r="J493" s="2"/>
      <c r="K493" s="2"/>
      <c r="L493" s="2"/>
      <c r="M493" s="2"/>
      <c r="N493" s="2"/>
      <c r="O493" s="2"/>
      <c r="P493" s="2"/>
      <c r="Q493" s="2"/>
      <c r="R493" s="2"/>
      <c r="S493" s="2"/>
      <c r="T493" s="2"/>
      <c r="U493" s="2"/>
      <c r="V493" s="22"/>
    </row>
    <row r="494" spans="4:22" ht="13.2" x14ac:dyDescent="0.25">
      <c r="D494" s="2"/>
      <c r="E494" s="2"/>
      <c r="F494" s="2"/>
      <c r="G494" s="2"/>
      <c r="H494" s="2"/>
      <c r="I494" s="2"/>
      <c r="J494" s="2"/>
      <c r="K494" s="2"/>
      <c r="L494" s="2"/>
      <c r="M494" s="2"/>
      <c r="N494" s="2"/>
      <c r="O494" s="2"/>
      <c r="P494" s="2"/>
      <c r="Q494" s="2"/>
      <c r="R494" s="2"/>
      <c r="S494" s="2"/>
      <c r="T494" s="2"/>
      <c r="U494" s="2"/>
      <c r="V494" s="22"/>
    </row>
    <row r="495" spans="4:22" ht="13.2" x14ac:dyDescent="0.25">
      <c r="D495" s="2"/>
      <c r="E495" s="2"/>
      <c r="F495" s="2"/>
      <c r="G495" s="2"/>
      <c r="H495" s="2"/>
      <c r="I495" s="2"/>
      <c r="J495" s="2"/>
      <c r="K495" s="2"/>
      <c r="L495" s="2"/>
      <c r="M495" s="2"/>
      <c r="N495" s="2"/>
      <c r="O495" s="2"/>
      <c r="P495" s="2"/>
      <c r="Q495" s="2"/>
      <c r="R495" s="2"/>
      <c r="S495" s="2"/>
      <c r="T495" s="2"/>
      <c r="U495" s="2"/>
      <c r="V495" s="22"/>
    </row>
    <row r="496" spans="4:22" ht="13.2" x14ac:dyDescent="0.25">
      <c r="D496" s="2"/>
      <c r="E496" s="2"/>
      <c r="F496" s="2"/>
      <c r="G496" s="2"/>
      <c r="H496" s="2"/>
      <c r="I496" s="2"/>
      <c r="J496" s="2"/>
      <c r="K496" s="2"/>
      <c r="L496" s="2"/>
      <c r="M496" s="2"/>
      <c r="N496" s="2"/>
      <c r="O496" s="2"/>
      <c r="P496" s="2"/>
      <c r="Q496" s="2"/>
      <c r="R496" s="2"/>
      <c r="S496" s="2"/>
      <c r="T496" s="2"/>
      <c r="U496" s="2"/>
      <c r="V496" s="22"/>
    </row>
    <row r="497" spans="4:22" ht="13.2" x14ac:dyDescent="0.25">
      <c r="D497" s="2"/>
      <c r="E497" s="2"/>
      <c r="F497" s="2"/>
      <c r="G497" s="2"/>
      <c r="H497" s="2"/>
      <c r="I497" s="2"/>
      <c r="J497" s="2"/>
      <c r="K497" s="2"/>
      <c r="L497" s="2"/>
      <c r="M497" s="2"/>
      <c r="N497" s="2"/>
      <c r="O497" s="2"/>
      <c r="P497" s="2"/>
      <c r="Q497" s="2"/>
      <c r="R497" s="2"/>
      <c r="S497" s="2"/>
      <c r="T497" s="2"/>
      <c r="U497" s="2"/>
      <c r="V497" s="22"/>
    </row>
    <row r="498" spans="4:22" ht="13.2" x14ac:dyDescent="0.25">
      <c r="D498" s="2"/>
      <c r="E498" s="2"/>
      <c r="F498" s="2"/>
      <c r="G498" s="2"/>
      <c r="H498" s="2"/>
      <c r="I498" s="2"/>
      <c r="J498" s="2"/>
      <c r="K498" s="2"/>
      <c r="L498" s="2"/>
      <c r="M498" s="2"/>
      <c r="N498" s="2"/>
      <c r="O498" s="2"/>
      <c r="P498" s="2"/>
      <c r="Q498" s="2"/>
      <c r="R498" s="2"/>
      <c r="S498" s="2"/>
      <c r="T498" s="2"/>
      <c r="U498" s="2"/>
      <c r="V498" s="22"/>
    </row>
    <row r="499" spans="4:22" ht="13.2" x14ac:dyDescent="0.25">
      <c r="D499" s="2"/>
      <c r="E499" s="2"/>
      <c r="F499" s="2"/>
      <c r="G499" s="2"/>
      <c r="H499" s="2"/>
      <c r="I499" s="2"/>
      <c r="J499" s="2"/>
      <c r="K499" s="2"/>
      <c r="L499" s="2"/>
      <c r="M499" s="2"/>
      <c r="N499" s="2"/>
      <c r="O499" s="2"/>
      <c r="P499" s="2"/>
      <c r="Q499" s="2"/>
      <c r="R499" s="2"/>
      <c r="S499" s="2"/>
      <c r="T499" s="2"/>
      <c r="U499" s="2"/>
      <c r="V499" s="22"/>
    </row>
    <row r="500" spans="4:22" ht="13.2" x14ac:dyDescent="0.25">
      <c r="D500" s="2"/>
      <c r="E500" s="2"/>
      <c r="F500" s="2"/>
      <c r="G500" s="2"/>
      <c r="H500" s="2"/>
      <c r="I500" s="2"/>
      <c r="J500" s="2"/>
      <c r="K500" s="2"/>
      <c r="L500" s="2"/>
      <c r="M500" s="2"/>
      <c r="N500" s="2"/>
      <c r="O500" s="2"/>
      <c r="P500" s="2"/>
      <c r="Q500" s="2"/>
      <c r="R500" s="2"/>
      <c r="S500" s="2"/>
      <c r="T500" s="2"/>
      <c r="U500" s="2"/>
      <c r="V500" s="22"/>
    </row>
    <row r="501" spans="4:22" ht="13.2" x14ac:dyDescent="0.25">
      <c r="D501" s="2"/>
      <c r="E501" s="2"/>
      <c r="F501" s="2"/>
      <c r="G501" s="2"/>
      <c r="H501" s="2"/>
      <c r="I501" s="2"/>
      <c r="J501" s="2"/>
      <c r="K501" s="2"/>
      <c r="L501" s="2"/>
      <c r="M501" s="2"/>
      <c r="N501" s="2"/>
      <c r="O501" s="2"/>
      <c r="P501" s="2"/>
      <c r="Q501" s="2"/>
      <c r="R501" s="2"/>
      <c r="S501" s="2"/>
      <c r="T501" s="2"/>
      <c r="U501" s="2"/>
      <c r="V501" s="22"/>
    </row>
    <row r="502" spans="4:22" ht="13.2" x14ac:dyDescent="0.25">
      <c r="D502" s="2"/>
      <c r="E502" s="2"/>
      <c r="F502" s="2"/>
      <c r="G502" s="2"/>
      <c r="H502" s="2"/>
      <c r="I502" s="2"/>
      <c r="J502" s="2"/>
      <c r="K502" s="2"/>
      <c r="L502" s="2"/>
      <c r="M502" s="2"/>
      <c r="N502" s="2"/>
      <c r="O502" s="2"/>
      <c r="P502" s="2"/>
      <c r="Q502" s="2"/>
      <c r="R502" s="2"/>
      <c r="S502" s="2"/>
      <c r="T502" s="2"/>
      <c r="U502" s="2"/>
      <c r="V502" s="22"/>
    </row>
    <row r="503" spans="4:22" ht="13.2" x14ac:dyDescent="0.25">
      <c r="D503" s="2"/>
      <c r="E503" s="2"/>
      <c r="F503" s="2"/>
      <c r="G503" s="2"/>
      <c r="H503" s="2"/>
      <c r="I503" s="2"/>
      <c r="J503" s="2"/>
      <c r="K503" s="2"/>
      <c r="L503" s="2"/>
      <c r="M503" s="2"/>
      <c r="N503" s="2"/>
      <c r="O503" s="2"/>
      <c r="P503" s="2"/>
      <c r="Q503" s="2"/>
      <c r="R503" s="2"/>
      <c r="S503" s="2"/>
      <c r="T503" s="2"/>
      <c r="U503" s="2"/>
      <c r="V503" s="22"/>
    </row>
    <row r="504" spans="4:22" ht="13.2" x14ac:dyDescent="0.25">
      <c r="D504" s="2"/>
      <c r="E504" s="2"/>
      <c r="F504" s="2"/>
      <c r="G504" s="2"/>
      <c r="H504" s="2"/>
      <c r="I504" s="2"/>
      <c r="J504" s="2"/>
      <c r="K504" s="2"/>
      <c r="L504" s="2"/>
      <c r="M504" s="2"/>
      <c r="N504" s="2"/>
      <c r="O504" s="2"/>
      <c r="P504" s="2"/>
      <c r="Q504" s="2"/>
      <c r="R504" s="2"/>
      <c r="S504" s="2"/>
      <c r="T504" s="2"/>
      <c r="U504" s="2"/>
      <c r="V504" s="22"/>
    </row>
    <row r="505" spans="4:22" ht="13.2" x14ac:dyDescent="0.25">
      <c r="D505" s="2"/>
      <c r="E505" s="2"/>
      <c r="F505" s="2"/>
      <c r="G505" s="2"/>
      <c r="H505" s="2"/>
      <c r="I505" s="2"/>
      <c r="J505" s="2"/>
      <c r="K505" s="2"/>
      <c r="L505" s="2"/>
      <c r="M505" s="2"/>
      <c r="N505" s="2"/>
      <c r="O505" s="2"/>
      <c r="P505" s="2"/>
      <c r="Q505" s="2"/>
      <c r="R505" s="2"/>
      <c r="S505" s="2"/>
      <c r="T505" s="2"/>
      <c r="U505" s="2"/>
      <c r="V505" s="22"/>
    </row>
    <row r="506" spans="4:22" ht="13.2" x14ac:dyDescent="0.25">
      <c r="D506" s="2"/>
      <c r="E506" s="2"/>
      <c r="F506" s="2"/>
      <c r="G506" s="2"/>
      <c r="H506" s="2"/>
      <c r="I506" s="2"/>
      <c r="J506" s="2"/>
      <c r="K506" s="2"/>
      <c r="L506" s="2"/>
      <c r="M506" s="2"/>
      <c r="N506" s="2"/>
      <c r="O506" s="2"/>
      <c r="P506" s="2"/>
      <c r="Q506" s="2"/>
      <c r="R506" s="2"/>
      <c r="S506" s="2"/>
      <c r="T506" s="2"/>
      <c r="U506" s="2"/>
      <c r="V506" s="22"/>
    </row>
    <row r="507" spans="4:22" ht="13.2" x14ac:dyDescent="0.25">
      <c r="D507" s="2"/>
      <c r="E507" s="2"/>
      <c r="F507" s="2"/>
      <c r="G507" s="2"/>
      <c r="H507" s="2"/>
      <c r="I507" s="2"/>
      <c r="J507" s="2"/>
      <c r="K507" s="2"/>
      <c r="L507" s="2"/>
      <c r="M507" s="2"/>
      <c r="N507" s="2"/>
      <c r="O507" s="2"/>
      <c r="P507" s="2"/>
      <c r="Q507" s="2"/>
      <c r="R507" s="2"/>
      <c r="S507" s="2"/>
      <c r="T507" s="2"/>
      <c r="U507" s="2"/>
      <c r="V507" s="22"/>
    </row>
    <row r="508" spans="4:22" ht="13.2" x14ac:dyDescent="0.25">
      <c r="D508" s="2"/>
      <c r="E508" s="2"/>
      <c r="F508" s="2"/>
      <c r="G508" s="2"/>
      <c r="H508" s="2"/>
      <c r="I508" s="2"/>
      <c r="J508" s="2"/>
      <c r="K508" s="2"/>
      <c r="L508" s="2"/>
      <c r="M508" s="2"/>
      <c r="N508" s="2"/>
      <c r="O508" s="2"/>
      <c r="P508" s="2"/>
      <c r="Q508" s="2"/>
      <c r="R508" s="2"/>
      <c r="S508" s="2"/>
      <c r="T508" s="2"/>
      <c r="U508" s="2"/>
      <c r="V508" s="22"/>
    </row>
    <row r="509" spans="4:22" ht="13.2" x14ac:dyDescent="0.25">
      <c r="D509" s="2"/>
      <c r="E509" s="2"/>
      <c r="F509" s="2"/>
      <c r="G509" s="2"/>
      <c r="H509" s="2"/>
      <c r="I509" s="2"/>
      <c r="J509" s="2"/>
      <c r="K509" s="2"/>
      <c r="L509" s="2"/>
      <c r="M509" s="2"/>
      <c r="N509" s="2"/>
      <c r="O509" s="2"/>
      <c r="P509" s="2"/>
      <c r="Q509" s="2"/>
      <c r="R509" s="2"/>
      <c r="S509" s="2"/>
      <c r="T509" s="2"/>
      <c r="U509" s="2"/>
      <c r="V509" s="22"/>
    </row>
    <row r="510" spans="4:22" ht="13.2" x14ac:dyDescent="0.25">
      <c r="D510" s="2"/>
      <c r="E510" s="2"/>
      <c r="F510" s="2"/>
      <c r="G510" s="2"/>
      <c r="H510" s="2"/>
      <c r="I510" s="2"/>
      <c r="J510" s="2"/>
      <c r="K510" s="2"/>
      <c r="L510" s="2"/>
      <c r="M510" s="2"/>
      <c r="N510" s="2"/>
      <c r="O510" s="2"/>
      <c r="P510" s="2"/>
      <c r="Q510" s="2"/>
      <c r="R510" s="2"/>
      <c r="S510" s="2"/>
      <c r="T510" s="2"/>
      <c r="U510" s="2"/>
      <c r="V510" s="22"/>
    </row>
    <row r="511" spans="4:22" ht="13.2" x14ac:dyDescent="0.25">
      <c r="D511" s="2"/>
      <c r="E511" s="2"/>
      <c r="F511" s="2"/>
      <c r="G511" s="2"/>
      <c r="H511" s="2"/>
      <c r="I511" s="2"/>
      <c r="J511" s="2"/>
      <c r="K511" s="2"/>
      <c r="L511" s="2"/>
      <c r="M511" s="2"/>
      <c r="N511" s="2"/>
      <c r="O511" s="2"/>
      <c r="P511" s="2"/>
      <c r="Q511" s="2"/>
      <c r="R511" s="2"/>
      <c r="S511" s="2"/>
      <c r="T511" s="2"/>
      <c r="U511" s="2"/>
      <c r="V511" s="22"/>
    </row>
    <row r="512" spans="4:22" ht="13.2" x14ac:dyDescent="0.25">
      <c r="D512" s="2"/>
      <c r="E512" s="2"/>
      <c r="F512" s="2"/>
      <c r="G512" s="2"/>
      <c r="H512" s="2"/>
      <c r="I512" s="2"/>
      <c r="J512" s="2"/>
      <c r="K512" s="2"/>
      <c r="L512" s="2"/>
      <c r="M512" s="2"/>
      <c r="N512" s="2"/>
      <c r="O512" s="2"/>
      <c r="P512" s="2"/>
      <c r="Q512" s="2"/>
      <c r="R512" s="2"/>
      <c r="S512" s="2"/>
      <c r="T512" s="2"/>
      <c r="U512" s="2"/>
      <c r="V512" s="22"/>
    </row>
    <row r="513" spans="4:22" ht="13.2" x14ac:dyDescent="0.25">
      <c r="D513" s="2"/>
      <c r="E513" s="2"/>
      <c r="F513" s="2"/>
      <c r="G513" s="2"/>
      <c r="H513" s="2"/>
      <c r="I513" s="2"/>
      <c r="J513" s="2"/>
      <c r="K513" s="2"/>
      <c r="L513" s="2"/>
      <c r="M513" s="2"/>
      <c r="N513" s="2"/>
      <c r="O513" s="2"/>
      <c r="P513" s="2"/>
      <c r="Q513" s="2"/>
      <c r="R513" s="2"/>
      <c r="S513" s="2"/>
      <c r="T513" s="2"/>
      <c r="U513" s="2"/>
      <c r="V513" s="22"/>
    </row>
    <row r="514" spans="4:22" ht="13.2" x14ac:dyDescent="0.25">
      <c r="D514" s="2"/>
      <c r="E514" s="2"/>
      <c r="F514" s="2"/>
      <c r="G514" s="2"/>
      <c r="H514" s="2"/>
      <c r="I514" s="2"/>
      <c r="J514" s="2"/>
      <c r="K514" s="2"/>
      <c r="L514" s="2"/>
      <c r="M514" s="2"/>
      <c r="N514" s="2"/>
      <c r="O514" s="2"/>
      <c r="P514" s="2"/>
      <c r="Q514" s="2"/>
      <c r="R514" s="2"/>
      <c r="S514" s="2"/>
      <c r="T514" s="2"/>
      <c r="U514" s="2"/>
      <c r="V514" s="22"/>
    </row>
    <row r="515" spans="4:22" ht="13.2" x14ac:dyDescent="0.25">
      <c r="D515" s="2"/>
      <c r="E515" s="2"/>
      <c r="F515" s="2"/>
      <c r="G515" s="2"/>
      <c r="H515" s="2"/>
      <c r="I515" s="2"/>
      <c r="J515" s="2"/>
      <c r="K515" s="2"/>
      <c r="L515" s="2"/>
      <c r="M515" s="2"/>
      <c r="N515" s="2"/>
      <c r="O515" s="2"/>
      <c r="P515" s="2"/>
      <c r="Q515" s="2"/>
      <c r="R515" s="2"/>
      <c r="S515" s="2"/>
      <c r="T515" s="2"/>
      <c r="U515" s="2"/>
      <c r="V515" s="22"/>
    </row>
    <row r="516" spans="4:22" ht="13.2" x14ac:dyDescent="0.25">
      <c r="D516" s="2"/>
      <c r="E516" s="2"/>
      <c r="F516" s="2"/>
      <c r="G516" s="2"/>
      <c r="H516" s="2"/>
      <c r="I516" s="2"/>
      <c r="J516" s="2"/>
      <c r="K516" s="2"/>
      <c r="L516" s="2"/>
      <c r="M516" s="2"/>
      <c r="N516" s="2"/>
      <c r="O516" s="2"/>
      <c r="P516" s="2"/>
      <c r="Q516" s="2"/>
      <c r="R516" s="2"/>
      <c r="S516" s="2"/>
      <c r="T516" s="2"/>
      <c r="U516" s="2"/>
      <c r="V516" s="22"/>
    </row>
    <row r="517" spans="4:22" ht="13.2" x14ac:dyDescent="0.25">
      <c r="D517" s="2"/>
      <c r="E517" s="2"/>
      <c r="F517" s="2"/>
      <c r="G517" s="2"/>
      <c r="H517" s="2"/>
      <c r="I517" s="2"/>
      <c r="J517" s="2"/>
      <c r="K517" s="2"/>
      <c r="L517" s="2"/>
      <c r="M517" s="2"/>
      <c r="N517" s="2"/>
      <c r="O517" s="2"/>
      <c r="P517" s="2"/>
      <c r="Q517" s="2"/>
      <c r="R517" s="2"/>
      <c r="S517" s="2"/>
      <c r="T517" s="2"/>
      <c r="U517" s="2"/>
      <c r="V517" s="22"/>
    </row>
    <row r="518" spans="4:22" ht="13.2" x14ac:dyDescent="0.25">
      <c r="D518" s="2"/>
      <c r="E518" s="2"/>
      <c r="F518" s="2"/>
      <c r="G518" s="2"/>
      <c r="H518" s="2"/>
      <c r="I518" s="2"/>
      <c r="J518" s="2"/>
      <c r="K518" s="2"/>
      <c r="L518" s="2"/>
      <c r="M518" s="2"/>
      <c r="N518" s="2"/>
      <c r="O518" s="2"/>
      <c r="P518" s="2"/>
      <c r="Q518" s="2"/>
      <c r="R518" s="2"/>
      <c r="S518" s="2"/>
      <c r="T518" s="2"/>
      <c r="U518" s="2"/>
      <c r="V518" s="22"/>
    </row>
    <row r="519" spans="4:22" ht="13.2" x14ac:dyDescent="0.25">
      <c r="D519" s="2"/>
      <c r="E519" s="2"/>
      <c r="F519" s="2"/>
      <c r="G519" s="2"/>
      <c r="H519" s="2"/>
      <c r="I519" s="2"/>
      <c r="J519" s="2"/>
      <c r="K519" s="2"/>
      <c r="L519" s="2"/>
      <c r="M519" s="2"/>
      <c r="N519" s="2"/>
      <c r="O519" s="2"/>
      <c r="P519" s="2"/>
      <c r="Q519" s="2"/>
      <c r="R519" s="2"/>
      <c r="S519" s="2"/>
      <c r="T519" s="2"/>
      <c r="U519" s="2"/>
      <c r="V519" s="22"/>
    </row>
    <row r="520" spans="4:22" ht="13.2" x14ac:dyDescent="0.25">
      <c r="D520" s="2"/>
      <c r="E520" s="2"/>
      <c r="F520" s="2"/>
      <c r="G520" s="2"/>
      <c r="H520" s="2"/>
      <c r="I520" s="2"/>
      <c r="J520" s="2"/>
      <c r="K520" s="2"/>
      <c r="L520" s="2"/>
      <c r="M520" s="2"/>
      <c r="N520" s="2"/>
      <c r="O520" s="2"/>
      <c r="P520" s="2"/>
      <c r="Q520" s="2"/>
      <c r="R520" s="2"/>
      <c r="S520" s="2"/>
      <c r="T520" s="2"/>
      <c r="U520" s="2"/>
      <c r="V520" s="22"/>
    </row>
    <row r="521" spans="4:22" ht="13.2" x14ac:dyDescent="0.25">
      <c r="D521" s="2"/>
      <c r="E521" s="2"/>
      <c r="F521" s="2"/>
      <c r="G521" s="2"/>
      <c r="H521" s="2"/>
      <c r="I521" s="2"/>
      <c r="J521" s="2"/>
      <c r="K521" s="2"/>
      <c r="L521" s="2"/>
      <c r="M521" s="2"/>
      <c r="N521" s="2"/>
      <c r="O521" s="2"/>
      <c r="P521" s="2"/>
      <c r="Q521" s="2"/>
      <c r="R521" s="2"/>
      <c r="S521" s="2"/>
      <c r="T521" s="2"/>
      <c r="U521" s="2"/>
      <c r="V521" s="22"/>
    </row>
    <row r="522" spans="4:22" ht="13.2" x14ac:dyDescent="0.25">
      <c r="D522" s="2"/>
      <c r="E522" s="2"/>
      <c r="F522" s="2"/>
      <c r="G522" s="2"/>
      <c r="H522" s="2"/>
      <c r="I522" s="2"/>
      <c r="J522" s="2"/>
      <c r="K522" s="2"/>
      <c r="L522" s="2"/>
      <c r="M522" s="2"/>
      <c r="N522" s="2"/>
      <c r="O522" s="2"/>
      <c r="P522" s="2"/>
      <c r="Q522" s="2"/>
      <c r="R522" s="2"/>
      <c r="S522" s="2"/>
      <c r="T522" s="2"/>
      <c r="U522" s="2"/>
      <c r="V522" s="22"/>
    </row>
    <row r="523" spans="4:22" ht="13.2" x14ac:dyDescent="0.25">
      <c r="D523" s="2"/>
      <c r="E523" s="2"/>
      <c r="F523" s="2"/>
      <c r="G523" s="2"/>
      <c r="H523" s="2"/>
      <c r="I523" s="2"/>
      <c r="J523" s="2"/>
      <c r="K523" s="2"/>
      <c r="L523" s="2"/>
      <c r="M523" s="2"/>
      <c r="N523" s="2"/>
      <c r="O523" s="2"/>
      <c r="P523" s="2"/>
      <c r="Q523" s="2"/>
      <c r="R523" s="2"/>
      <c r="S523" s="2"/>
      <c r="T523" s="2"/>
      <c r="U523" s="2"/>
      <c r="V523" s="22"/>
    </row>
    <row r="524" spans="4:22" ht="13.2" x14ac:dyDescent="0.25">
      <c r="D524" s="2"/>
      <c r="E524" s="2"/>
      <c r="F524" s="2"/>
      <c r="G524" s="2"/>
      <c r="H524" s="2"/>
      <c r="I524" s="2"/>
      <c r="J524" s="2"/>
      <c r="K524" s="2"/>
      <c r="L524" s="2"/>
      <c r="M524" s="2"/>
      <c r="N524" s="2"/>
      <c r="O524" s="2"/>
      <c r="P524" s="2"/>
      <c r="Q524" s="2"/>
      <c r="R524" s="2"/>
      <c r="S524" s="2"/>
      <c r="T524" s="2"/>
      <c r="U524" s="2"/>
      <c r="V524" s="22"/>
    </row>
    <row r="525" spans="4:22" ht="13.2" x14ac:dyDescent="0.25">
      <c r="D525" s="2"/>
      <c r="E525" s="2"/>
      <c r="F525" s="2"/>
      <c r="G525" s="2"/>
      <c r="H525" s="2"/>
      <c r="I525" s="2"/>
      <c r="J525" s="2"/>
      <c r="K525" s="2"/>
      <c r="L525" s="2"/>
      <c r="M525" s="2"/>
      <c r="N525" s="2"/>
      <c r="O525" s="2"/>
      <c r="P525" s="2"/>
      <c r="Q525" s="2"/>
      <c r="R525" s="2"/>
      <c r="S525" s="2"/>
      <c r="T525" s="2"/>
      <c r="U525" s="2"/>
      <c r="V525" s="22"/>
    </row>
    <row r="526" spans="4:22" ht="13.2" x14ac:dyDescent="0.25">
      <c r="D526" s="2"/>
      <c r="E526" s="2"/>
      <c r="F526" s="2"/>
      <c r="G526" s="2"/>
      <c r="H526" s="2"/>
      <c r="I526" s="2"/>
      <c r="J526" s="2"/>
      <c r="K526" s="2"/>
      <c r="L526" s="2"/>
      <c r="M526" s="2"/>
      <c r="N526" s="2"/>
      <c r="O526" s="2"/>
      <c r="P526" s="2"/>
      <c r="Q526" s="2"/>
      <c r="R526" s="2"/>
      <c r="S526" s="2"/>
      <c r="T526" s="2"/>
      <c r="U526" s="2"/>
      <c r="V526" s="22"/>
    </row>
    <row r="527" spans="4:22" ht="13.2" x14ac:dyDescent="0.25">
      <c r="D527" s="2"/>
      <c r="E527" s="2"/>
      <c r="F527" s="2"/>
      <c r="G527" s="2"/>
      <c r="H527" s="2"/>
      <c r="I527" s="2"/>
      <c r="J527" s="2"/>
      <c r="K527" s="2"/>
      <c r="L527" s="2"/>
      <c r="M527" s="2"/>
      <c r="N527" s="2"/>
      <c r="O527" s="2"/>
      <c r="P527" s="2"/>
      <c r="Q527" s="2"/>
      <c r="R527" s="2"/>
      <c r="S527" s="2"/>
      <c r="T527" s="2"/>
      <c r="U527" s="2"/>
      <c r="V527" s="22"/>
    </row>
    <row r="528" spans="4:22" ht="13.2" x14ac:dyDescent="0.25">
      <c r="D528" s="2"/>
      <c r="E528" s="2"/>
      <c r="F528" s="2"/>
      <c r="G528" s="2"/>
      <c r="H528" s="2"/>
      <c r="I528" s="2"/>
      <c r="J528" s="2"/>
      <c r="K528" s="2"/>
      <c r="L528" s="2"/>
      <c r="M528" s="2"/>
      <c r="N528" s="2"/>
      <c r="O528" s="2"/>
      <c r="P528" s="2"/>
      <c r="Q528" s="2"/>
      <c r="R528" s="2"/>
      <c r="S528" s="2"/>
      <c r="T528" s="2"/>
      <c r="U528" s="2"/>
      <c r="V528" s="22"/>
    </row>
    <row r="529" spans="4:22" ht="13.2" x14ac:dyDescent="0.25">
      <c r="D529" s="2"/>
      <c r="E529" s="2"/>
      <c r="F529" s="2"/>
      <c r="G529" s="2"/>
      <c r="H529" s="2"/>
      <c r="I529" s="2"/>
      <c r="J529" s="2"/>
      <c r="K529" s="2"/>
      <c r="L529" s="2"/>
      <c r="M529" s="2"/>
      <c r="N529" s="2"/>
      <c r="O529" s="2"/>
      <c r="P529" s="2"/>
      <c r="Q529" s="2"/>
      <c r="R529" s="2"/>
      <c r="S529" s="2"/>
      <c r="T529" s="2"/>
      <c r="U529" s="2"/>
      <c r="V529" s="22"/>
    </row>
    <row r="530" spans="4:22" ht="13.2" x14ac:dyDescent="0.25">
      <c r="D530" s="2"/>
      <c r="E530" s="2"/>
      <c r="F530" s="2"/>
      <c r="G530" s="2"/>
      <c r="H530" s="2"/>
      <c r="I530" s="2"/>
      <c r="J530" s="2"/>
      <c r="K530" s="2"/>
      <c r="L530" s="2"/>
      <c r="M530" s="2"/>
      <c r="N530" s="2"/>
      <c r="O530" s="2"/>
      <c r="P530" s="2"/>
      <c r="Q530" s="2"/>
      <c r="R530" s="2"/>
      <c r="S530" s="2"/>
      <c r="T530" s="2"/>
      <c r="U530" s="2"/>
      <c r="V530" s="22"/>
    </row>
    <row r="531" spans="4:22" ht="13.2" x14ac:dyDescent="0.25">
      <c r="D531" s="2"/>
      <c r="E531" s="2"/>
      <c r="F531" s="2"/>
      <c r="G531" s="2"/>
      <c r="H531" s="2"/>
      <c r="I531" s="2"/>
      <c r="J531" s="2"/>
      <c r="K531" s="2"/>
      <c r="L531" s="2"/>
      <c r="M531" s="2"/>
      <c r="N531" s="2"/>
      <c r="O531" s="2"/>
      <c r="P531" s="2"/>
      <c r="Q531" s="2"/>
      <c r="R531" s="2"/>
      <c r="S531" s="2"/>
      <c r="T531" s="2"/>
      <c r="U531" s="2"/>
      <c r="V531" s="22"/>
    </row>
    <row r="532" spans="4:22" ht="13.2" x14ac:dyDescent="0.25">
      <c r="D532" s="2"/>
      <c r="E532" s="2"/>
      <c r="F532" s="2"/>
      <c r="G532" s="2"/>
      <c r="H532" s="2"/>
      <c r="I532" s="2"/>
      <c r="J532" s="2"/>
      <c r="K532" s="2"/>
      <c r="L532" s="2"/>
      <c r="M532" s="2"/>
      <c r="N532" s="2"/>
      <c r="O532" s="2"/>
      <c r="P532" s="2"/>
      <c r="Q532" s="2"/>
      <c r="R532" s="2"/>
      <c r="S532" s="2"/>
      <c r="T532" s="2"/>
      <c r="U532" s="2"/>
      <c r="V532" s="22"/>
    </row>
    <row r="533" spans="4:22" ht="13.2" x14ac:dyDescent="0.25">
      <c r="D533" s="2"/>
      <c r="E533" s="2"/>
      <c r="F533" s="2"/>
      <c r="G533" s="2"/>
      <c r="H533" s="2"/>
      <c r="I533" s="2"/>
      <c r="J533" s="2"/>
      <c r="K533" s="2"/>
      <c r="L533" s="2"/>
      <c r="M533" s="2"/>
      <c r="N533" s="2"/>
      <c r="O533" s="2"/>
      <c r="P533" s="2"/>
      <c r="Q533" s="2"/>
      <c r="R533" s="2"/>
      <c r="S533" s="2"/>
      <c r="T533" s="2"/>
      <c r="U533" s="2"/>
      <c r="V533" s="22"/>
    </row>
    <row r="534" spans="4:22" ht="13.2" x14ac:dyDescent="0.25">
      <c r="D534" s="2"/>
      <c r="E534" s="2"/>
      <c r="F534" s="2"/>
      <c r="G534" s="2"/>
      <c r="H534" s="2"/>
      <c r="I534" s="2"/>
      <c r="J534" s="2"/>
      <c r="K534" s="2"/>
      <c r="L534" s="2"/>
      <c r="M534" s="2"/>
      <c r="N534" s="2"/>
      <c r="O534" s="2"/>
      <c r="P534" s="2"/>
      <c r="Q534" s="2"/>
      <c r="R534" s="2"/>
      <c r="S534" s="2"/>
      <c r="T534" s="2"/>
      <c r="U534" s="2"/>
      <c r="V534" s="22"/>
    </row>
    <row r="535" spans="4:22" ht="13.2" x14ac:dyDescent="0.25">
      <c r="D535" s="2"/>
      <c r="E535" s="2"/>
      <c r="F535" s="2"/>
      <c r="G535" s="2"/>
      <c r="H535" s="2"/>
      <c r="I535" s="2"/>
      <c r="J535" s="2"/>
      <c r="K535" s="2"/>
      <c r="L535" s="2"/>
      <c r="M535" s="2"/>
      <c r="N535" s="2"/>
      <c r="O535" s="2"/>
      <c r="P535" s="2"/>
      <c r="Q535" s="2"/>
      <c r="R535" s="2"/>
      <c r="S535" s="2"/>
      <c r="T535" s="2"/>
      <c r="U535" s="2"/>
      <c r="V535" s="22"/>
    </row>
    <row r="536" spans="4:22" ht="13.2" x14ac:dyDescent="0.25">
      <c r="D536" s="2"/>
      <c r="E536" s="2"/>
      <c r="F536" s="2"/>
      <c r="G536" s="2"/>
      <c r="H536" s="2"/>
      <c r="I536" s="2"/>
      <c r="J536" s="2"/>
      <c r="K536" s="2"/>
      <c r="L536" s="2"/>
      <c r="M536" s="2"/>
      <c r="N536" s="2"/>
      <c r="O536" s="2"/>
      <c r="P536" s="2"/>
      <c r="Q536" s="2"/>
      <c r="R536" s="2"/>
      <c r="S536" s="2"/>
      <c r="T536" s="2"/>
      <c r="U536" s="2"/>
      <c r="V536" s="22"/>
    </row>
    <row r="537" spans="4:22" ht="13.2" x14ac:dyDescent="0.25">
      <c r="D537" s="2"/>
      <c r="E537" s="2"/>
      <c r="F537" s="2"/>
      <c r="G537" s="2"/>
      <c r="H537" s="2"/>
      <c r="I537" s="2"/>
      <c r="J537" s="2"/>
      <c r="K537" s="2"/>
      <c r="L537" s="2"/>
      <c r="M537" s="2"/>
      <c r="N537" s="2"/>
      <c r="O537" s="2"/>
      <c r="P537" s="2"/>
      <c r="Q537" s="2"/>
      <c r="R537" s="2"/>
      <c r="S537" s="2"/>
      <c r="T537" s="2"/>
      <c r="U537" s="2"/>
      <c r="V537" s="22"/>
    </row>
    <row r="538" spans="4:22" ht="13.2" x14ac:dyDescent="0.25">
      <c r="D538" s="2"/>
      <c r="E538" s="2"/>
      <c r="F538" s="2"/>
      <c r="G538" s="2"/>
      <c r="H538" s="2"/>
      <c r="I538" s="2"/>
      <c r="J538" s="2"/>
      <c r="K538" s="2"/>
      <c r="L538" s="2"/>
      <c r="M538" s="2"/>
      <c r="N538" s="2"/>
      <c r="O538" s="2"/>
      <c r="P538" s="2"/>
      <c r="Q538" s="2"/>
      <c r="R538" s="2"/>
      <c r="S538" s="2"/>
      <c r="T538" s="2"/>
      <c r="U538" s="2"/>
      <c r="V538" s="22"/>
    </row>
    <row r="539" spans="4:22" ht="13.2" x14ac:dyDescent="0.25">
      <c r="D539" s="2"/>
      <c r="E539" s="2"/>
      <c r="F539" s="2"/>
      <c r="G539" s="2"/>
      <c r="H539" s="2"/>
      <c r="I539" s="2"/>
      <c r="J539" s="2"/>
      <c r="K539" s="2"/>
      <c r="L539" s="2"/>
      <c r="M539" s="2"/>
      <c r="N539" s="2"/>
      <c r="O539" s="2"/>
      <c r="P539" s="2"/>
      <c r="Q539" s="2"/>
      <c r="R539" s="2"/>
      <c r="S539" s="2"/>
      <c r="T539" s="2"/>
      <c r="U539" s="2"/>
      <c r="V539" s="22"/>
    </row>
    <row r="540" spans="4:22" ht="13.2" x14ac:dyDescent="0.25">
      <c r="D540" s="2"/>
      <c r="E540" s="2"/>
      <c r="F540" s="2"/>
      <c r="G540" s="2"/>
      <c r="H540" s="2"/>
      <c r="I540" s="2"/>
      <c r="J540" s="2"/>
      <c r="K540" s="2"/>
      <c r="L540" s="2"/>
      <c r="M540" s="2"/>
      <c r="N540" s="2"/>
      <c r="O540" s="2"/>
      <c r="P540" s="2"/>
      <c r="Q540" s="2"/>
      <c r="R540" s="2"/>
      <c r="S540" s="2"/>
      <c r="T540" s="2"/>
      <c r="U540" s="2"/>
      <c r="V540" s="22"/>
    </row>
    <row r="541" spans="4:22" ht="13.2" x14ac:dyDescent="0.25">
      <c r="D541" s="2"/>
      <c r="E541" s="2"/>
      <c r="F541" s="2"/>
      <c r="G541" s="2"/>
      <c r="H541" s="2"/>
      <c r="I541" s="2"/>
      <c r="J541" s="2"/>
      <c r="K541" s="2"/>
      <c r="L541" s="2"/>
      <c r="M541" s="2"/>
      <c r="N541" s="2"/>
      <c r="O541" s="2"/>
      <c r="P541" s="2"/>
      <c r="Q541" s="2"/>
      <c r="R541" s="2"/>
      <c r="S541" s="2"/>
      <c r="T541" s="2"/>
      <c r="U541" s="2"/>
      <c r="V541" s="22"/>
    </row>
    <row r="542" spans="4:22" ht="13.2" x14ac:dyDescent="0.25">
      <c r="D542" s="2"/>
      <c r="E542" s="2"/>
      <c r="F542" s="2"/>
      <c r="G542" s="2"/>
      <c r="H542" s="2"/>
      <c r="I542" s="2"/>
      <c r="J542" s="2"/>
      <c r="K542" s="2"/>
      <c r="L542" s="2"/>
      <c r="M542" s="2"/>
      <c r="N542" s="2"/>
      <c r="O542" s="2"/>
      <c r="P542" s="2"/>
      <c r="Q542" s="2"/>
      <c r="R542" s="2"/>
      <c r="S542" s="2"/>
      <c r="T542" s="2"/>
      <c r="U542" s="2"/>
      <c r="V542" s="22"/>
    </row>
    <row r="543" spans="4:22" ht="13.2" x14ac:dyDescent="0.25">
      <c r="D543" s="2"/>
      <c r="E543" s="2"/>
      <c r="F543" s="2"/>
      <c r="G543" s="2"/>
      <c r="H543" s="2"/>
      <c r="I543" s="2"/>
      <c r="J543" s="2"/>
      <c r="K543" s="2"/>
      <c r="L543" s="2"/>
      <c r="M543" s="2"/>
      <c r="N543" s="2"/>
      <c r="O543" s="2"/>
      <c r="P543" s="2"/>
      <c r="Q543" s="2"/>
      <c r="R543" s="2"/>
      <c r="S543" s="2"/>
      <c r="T543" s="2"/>
      <c r="U543" s="2"/>
      <c r="V543" s="22"/>
    </row>
    <row r="544" spans="4:22" ht="13.2" x14ac:dyDescent="0.25">
      <c r="D544" s="2"/>
      <c r="E544" s="2"/>
      <c r="F544" s="2"/>
      <c r="G544" s="2"/>
      <c r="H544" s="2"/>
      <c r="I544" s="2"/>
      <c r="J544" s="2"/>
      <c r="K544" s="2"/>
      <c r="L544" s="2"/>
      <c r="M544" s="2"/>
      <c r="N544" s="2"/>
      <c r="O544" s="2"/>
      <c r="P544" s="2"/>
      <c r="Q544" s="2"/>
      <c r="R544" s="2"/>
      <c r="S544" s="2"/>
      <c r="T544" s="2"/>
      <c r="U544" s="2"/>
      <c r="V544" s="22"/>
    </row>
    <row r="545" spans="4:22" ht="13.2" x14ac:dyDescent="0.25">
      <c r="D545" s="2"/>
      <c r="E545" s="2"/>
      <c r="F545" s="2"/>
      <c r="G545" s="2"/>
      <c r="H545" s="2"/>
      <c r="I545" s="2"/>
      <c r="J545" s="2"/>
      <c r="K545" s="2"/>
      <c r="L545" s="2"/>
      <c r="M545" s="2"/>
      <c r="N545" s="2"/>
      <c r="O545" s="2"/>
      <c r="P545" s="2"/>
      <c r="Q545" s="2"/>
      <c r="R545" s="2"/>
      <c r="S545" s="2"/>
      <c r="T545" s="2"/>
      <c r="U545" s="2"/>
      <c r="V545" s="22"/>
    </row>
    <row r="546" spans="4:22" ht="13.2" x14ac:dyDescent="0.25">
      <c r="D546" s="2"/>
      <c r="E546" s="2"/>
      <c r="F546" s="2"/>
      <c r="G546" s="2"/>
      <c r="H546" s="2"/>
      <c r="I546" s="2"/>
      <c r="J546" s="2"/>
      <c r="K546" s="2"/>
      <c r="L546" s="2"/>
      <c r="M546" s="2"/>
      <c r="N546" s="2"/>
      <c r="O546" s="2"/>
      <c r="P546" s="2"/>
      <c r="Q546" s="2"/>
      <c r="R546" s="2"/>
      <c r="S546" s="2"/>
      <c r="T546" s="2"/>
      <c r="U546" s="2"/>
      <c r="V546" s="22"/>
    </row>
    <row r="547" spans="4:22" ht="13.2" x14ac:dyDescent="0.25">
      <c r="D547" s="2"/>
      <c r="E547" s="2"/>
      <c r="F547" s="2"/>
      <c r="G547" s="2"/>
      <c r="H547" s="2"/>
      <c r="I547" s="2"/>
      <c r="J547" s="2"/>
      <c r="K547" s="2"/>
      <c r="L547" s="2"/>
      <c r="M547" s="2"/>
      <c r="N547" s="2"/>
      <c r="O547" s="2"/>
      <c r="P547" s="2"/>
      <c r="Q547" s="2"/>
      <c r="R547" s="2"/>
      <c r="S547" s="2"/>
      <c r="T547" s="2"/>
      <c r="U547" s="2"/>
      <c r="V547" s="22"/>
    </row>
    <row r="548" spans="4:22" ht="13.2" x14ac:dyDescent="0.25">
      <c r="D548" s="2"/>
      <c r="E548" s="2"/>
      <c r="F548" s="2"/>
      <c r="G548" s="2"/>
      <c r="H548" s="2"/>
      <c r="I548" s="2"/>
      <c r="J548" s="2"/>
      <c r="K548" s="2"/>
      <c r="L548" s="2"/>
      <c r="M548" s="2"/>
      <c r="N548" s="2"/>
      <c r="O548" s="2"/>
      <c r="P548" s="2"/>
      <c r="Q548" s="2"/>
      <c r="R548" s="2"/>
      <c r="S548" s="2"/>
      <c r="T548" s="2"/>
      <c r="U548" s="2"/>
      <c r="V548" s="22"/>
    </row>
    <row r="549" spans="4:22" ht="13.2" x14ac:dyDescent="0.25">
      <c r="D549" s="2"/>
      <c r="E549" s="2"/>
      <c r="F549" s="2"/>
      <c r="G549" s="2"/>
      <c r="H549" s="2"/>
      <c r="I549" s="2"/>
      <c r="J549" s="2"/>
      <c r="K549" s="2"/>
      <c r="L549" s="2"/>
      <c r="M549" s="2"/>
      <c r="N549" s="2"/>
      <c r="O549" s="2"/>
      <c r="P549" s="2"/>
      <c r="Q549" s="2"/>
      <c r="R549" s="2"/>
      <c r="S549" s="2"/>
      <c r="T549" s="2"/>
      <c r="U549" s="2"/>
      <c r="V549" s="22"/>
    </row>
    <row r="550" spans="4:22" ht="13.2" x14ac:dyDescent="0.25">
      <c r="D550" s="2"/>
      <c r="E550" s="2"/>
      <c r="F550" s="2"/>
      <c r="G550" s="2"/>
      <c r="H550" s="2"/>
      <c r="I550" s="2"/>
      <c r="J550" s="2"/>
      <c r="K550" s="2"/>
      <c r="L550" s="2"/>
      <c r="M550" s="2"/>
      <c r="N550" s="2"/>
      <c r="O550" s="2"/>
      <c r="P550" s="2"/>
      <c r="Q550" s="2"/>
      <c r="R550" s="2"/>
      <c r="S550" s="2"/>
      <c r="T550" s="2"/>
      <c r="U550" s="2"/>
      <c r="V550" s="22"/>
    </row>
    <row r="551" spans="4:22" ht="13.2" x14ac:dyDescent="0.25">
      <c r="D551" s="2"/>
      <c r="E551" s="2"/>
      <c r="F551" s="2"/>
      <c r="G551" s="2"/>
      <c r="H551" s="2"/>
      <c r="I551" s="2"/>
      <c r="J551" s="2"/>
      <c r="K551" s="2"/>
      <c r="L551" s="2"/>
      <c r="M551" s="2"/>
      <c r="N551" s="2"/>
      <c r="O551" s="2"/>
      <c r="P551" s="2"/>
      <c r="Q551" s="2"/>
      <c r="R551" s="2"/>
      <c r="S551" s="2"/>
      <c r="T551" s="2"/>
      <c r="U551" s="2"/>
      <c r="V551" s="22"/>
    </row>
    <row r="552" spans="4:22" ht="13.2" x14ac:dyDescent="0.25">
      <c r="D552" s="2"/>
      <c r="E552" s="2"/>
      <c r="F552" s="2"/>
      <c r="G552" s="2"/>
      <c r="H552" s="2"/>
      <c r="I552" s="2"/>
      <c r="J552" s="2"/>
      <c r="K552" s="2"/>
      <c r="L552" s="2"/>
      <c r="M552" s="2"/>
      <c r="N552" s="2"/>
      <c r="O552" s="2"/>
      <c r="P552" s="2"/>
      <c r="Q552" s="2"/>
      <c r="R552" s="2"/>
      <c r="S552" s="2"/>
      <c r="T552" s="2"/>
      <c r="U552" s="2"/>
      <c r="V552" s="22"/>
    </row>
    <row r="553" spans="4:22" ht="13.2" x14ac:dyDescent="0.25">
      <c r="D553" s="2"/>
      <c r="E553" s="2"/>
      <c r="F553" s="2"/>
      <c r="G553" s="2"/>
      <c r="H553" s="2"/>
      <c r="I553" s="2"/>
      <c r="J553" s="2"/>
      <c r="K553" s="2"/>
      <c r="L553" s="2"/>
      <c r="M553" s="2"/>
      <c r="N553" s="2"/>
      <c r="O553" s="2"/>
      <c r="P553" s="2"/>
      <c r="Q553" s="2"/>
      <c r="R553" s="2"/>
      <c r="S553" s="2"/>
      <c r="T553" s="2"/>
      <c r="U553" s="2"/>
      <c r="V553" s="22"/>
    </row>
    <row r="554" spans="4:22" ht="13.2" x14ac:dyDescent="0.25">
      <c r="D554" s="2"/>
      <c r="E554" s="2"/>
      <c r="F554" s="2"/>
      <c r="G554" s="2"/>
      <c r="H554" s="2"/>
      <c r="I554" s="2"/>
      <c r="J554" s="2"/>
      <c r="K554" s="2"/>
      <c r="L554" s="2"/>
      <c r="M554" s="2"/>
      <c r="N554" s="2"/>
      <c r="O554" s="2"/>
      <c r="P554" s="2"/>
      <c r="Q554" s="2"/>
      <c r="R554" s="2"/>
      <c r="S554" s="2"/>
      <c r="T554" s="2"/>
      <c r="U554" s="2"/>
      <c r="V554" s="22"/>
    </row>
    <row r="555" spans="4:22" ht="13.2" x14ac:dyDescent="0.25">
      <c r="D555" s="2"/>
      <c r="E555" s="2"/>
      <c r="F555" s="2"/>
      <c r="G555" s="2"/>
      <c r="H555" s="2"/>
      <c r="I555" s="2"/>
      <c r="J555" s="2"/>
      <c r="K555" s="2"/>
      <c r="L555" s="2"/>
      <c r="M555" s="2"/>
      <c r="N555" s="2"/>
      <c r="O555" s="2"/>
      <c r="P555" s="2"/>
      <c r="Q555" s="2"/>
      <c r="R555" s="2"/>
      <c r="S555" s="2"/>
      <c r="T555" s="2"/>
      <c r="U555" s="2"/>
      <c r="V555" s="22"/>
    </row>
    <row r="556" spans="4:22" ht="13.2" x14ac:dyDescent="0.25">
      <c r="D556" s="2"/>
      <c r="E556" s="2"/>
      <c r="F556" s="2"/>
      <c r="G556" s="2"/>
      <c r="H556" s="2"/>
      <c r="I556" s="2"/>
      <c r="J556" s="2"/>
      <c r="K556" s="2"/>
      <c r="L556" s="2"/>
      <c r="M556" s="2"/>
      <c r="N556" s="2"/>
      <c r="O556" s="2"/>
      <c r="P556" s="2"/>
      <c r="Q556" s="2"/>
      <c r="R556" s="2"/>
      <c r="S556" s="2"/>
      <c r="T556" s="2"/>
      <c r="U556" s="2"/>
      <c r="V556" s="22"/>
    </row>
    <row r="557" spans="4:22" ht="13.2" x14ac:dyDescent="0.25">
      <c r="D557" s="2"/>
      <c r="E557" s="2"/>
      <c r="F557" s="2"/>
      <c r="G557" s="2"/>
      <c r="H557" s="2"/>
      <c r="I557" s="2"/>
      <c r="J557" s="2"/>
      <c r="K557" s="2"/>
      <c r="L557" s="2"/>
      <c r="M557" s="2"/>
      <c r="N557" s="2"/>
      <c r="O557" s="2"/>
      <c r="P557" s="2"/>
      <c r="Q557" s="2"/>
      <c r="R557" s="2"/>
      <c r="S557" s="2"/>
      <c r="T557" s="2"/>
      <c r="U557" s="2"/>
      <c r="V557" s="22"/>
    </row>
    <row r="558" spans="4:22" ht="13.2" x14ac:dyDescent="0.25">
      <c r="D558" s="2"/>
      <c r="E558" s="2"/>
      <c r="F558" s="2"/>
      <c r="G558" s="2"/>
      <c r="H558" s="2"/>
      <c r="I558" s="2"/>
      <c r="J558" s="2"/>
      <c r="K558" s="2"/>
      <c r="L558" s="2"/>
      <c r="M558" s="2"/>
      <c r="N558" s="2"/>
      <c r="O558" s="2"/>
      <c r="P558" s="2"/>
      <c r="Q558" s="2"/>
      <c r="R558" s="2"/>
      <c r="S558" s="2"/>
      <c r="T558" s="2"/>
      <c r="U558" s="2"/>
      <c r="V558" s="22"/>
    </row>
    <row r="559" spans="4:22" ht="13.2" x14ac:dyDescent="0.25">
      <c r="D559" s="2"/>
      <c r="E559" s="2"/>
      <c r="F559" s="2"/>
      <c r="G559" s="2"/>
      <c r="H559" s="2"/>
      <c r="I559" s="2"/>
      <c r="J559" s="2"/>
      <c r="K559" s="2"/>
      <c r="L559" s="2"/>
      <c r="M559" s="2"/>
      <c r="N559" s="2"/>
      <c r="O559" s="2"/>
      <c r="P559" s="2"/>
      <c r="Q559" s="2"/>
      <c r="R559" s="2"/>
      <c r="S559" s="2"/>
      <c r="T559" s="2"/>
      <c r="U559" s="2"/>
      <c r="V559" s="22"/>
    </row>
    <row r="560" spans="4:22" ht="13.2" x14ac:dyDescent="0.25">
      <c r="D560" s="2"/>
      <c r="E560" s="2"/>
      <c r="F560" s="2"/>
      <c r="G560" s="2"/>
      <c r="H560" s="2"/>
      <c r="I560" s="2"/>
      <c r="J560" s="2"/>
      <c r="K560" s="2"/>
      <c r="L560" s="2"/>
      <c r="M560" s="2"/>
      <c r="N560" s="2"/>
      <c r="O560" s="2"/>
      <c r="P560" s="2"/>
      <c r="Q560" s="2"/>
      <c r="R560" s="2"/>
      <c r="S560" s="2"/>
      <c r="T560" s="2"/>
      <c r="U560" s="2"/>
      <c r="V560" s="22"/>
    </row>
    <row r="561" spans="4:22" ht="13.2" x14ac:dyDescent="0.25">
      <c r="D561" s="2"/>
      <c r="E561" s="2"/>
      <c r="F561" s="2"/>
      <c r="G561" s="2"/>
      <c r="H561" s="2"/>
      <c r="I561" s="2"/>
      <c r="J561" s="2"/>
      <c r="K561" s="2"/>
      <c r="L561" s="2"/>
      <c r="M561" s="2"/>
      <c r="N561" s="2"/>
      <c r="O561" s="2"/>
      <c r="P561" s="2"/>
      <c r="Q561" s="2"/>
      <c r="R561" s="2"/>
      <c r="S561" s="2"/>
      <c r="T561" s="2"/>
      <c r="U561" s="2"/>
      <c r="V561" s="22"/>
    </row>
    <row r="562" spans="4:22" ht="13.2" x14ac:dyDescent="0.25">
      <c r="D562" s="2"/>
      <c r="E562" s="2"/>
      <c r="F562" s="2"/>
      <c r="G562" s="2"/>
      <c r="H562" s="2"/>
      <c r="I562" s="2"/>
      <c r="J562" s="2"/>
      <c r="K562" s="2"/>
      <c r="L562" s="2"/>
      <c r="M562" s="2"/>
      <c r="N562" s="2"/>
      <c r="O562" s="2"/>
      <c r="P562" s="2"/>
      <c r="Q562" s="2"/>
      <c r="R562" s="2"/>
      <c r="S562" s="2"/>
      <c r="T562" s="2"/>
      <c r="U562" s="2"/>
      <c r="V562" s="22"/>
    </row>
    <row r="563" spans="4:22" ht="13.2" x14ac:dyDescent="0.25">
      <c r="D563" s="2"/>
      <c r="E563" s="2"/>
      <c r="F563" s="2"/>
      <c r="G563" s="2"/>
      <c r="H563" s="2"/>
      <c r="I563" s="2"/>
      <c r="J563" s="2"/>
      <c r="K563" s="2"/>
      <c r="L563" s="2"/>
      <c r="M563" s="2"/>
      <c r="N563" s="2"/>
      <c r="O563" s="2"/>
      <c r="P563" s="2"/>
      <c r="Q563" s="2"/>
      <c r="R563" s="2"/>
      <c r="S563" s="2"/>
      <c r="T563" s="2"/>
      <c r="U563" s="2"/>
      <c r="V563" s="22"/>
    </row>
    <row r="564" spans="4:22" ht="13.2" x14ac:dyDescent="0.25">
      <c r="D564" s="2"/>
      <c r="E564" s="2"/>
      <c r="F564" s="2"/>
      <c r="G564" s="2"/>
      <c r="H564" s="2"/>
      <c r="I564" s="2"/>
      <c r="J564" s="2"/>
      <c r="K564" s="2"/>
      <c r="L564" s="2"/>
      <c r="M564" s="2"/>
      <c r="N564" s="2"/>
      <c r="O564" s="2"/>
      <c r="P564" s="2"/>
      <c r="Q564" s="2"/>
      <c r="R564" s="2"/>
      <c r="S564" s="2"/>
      <c r="T564" s="2"/>
      <c r="U564" s="2"/>
      <c r="V564" s="22"/>
    </row>
    <row r="565" spans="4:22" ht="13.2" x14ac:dyDescent="0.25">
      <c r="D565" s="2"/>
      <c r="E565" s="2"/>
      <c r="F565" s="2"/>
      <c r="G565" s="2"/>
      <c r="H565" s="2"/>
      <c r="I565" s="2"/>
      <c r="J565" s="2"/>
      <c r="K565" s="2"/>
      <c r="L565" s="2"/>
      <c r="M565" s="2"/>
      <c r="N565" s="2"/>
      <c r="O565" s="2"/>
      <c r="P565" s="2"/>
      <c r="Q565" s="2"/>
      <c r="R565" s="2"/>
      <c r="S565" s="2"/>
      <c r="T565" s="2"/>
      <c r="U565" s="2"/>
      <c r="V565" s="22"/>
    </row>
    <row r="566" spans="4:22" ht="13.2" x14ac:dyDescent="0.25">
      <c r="D566" s="2"/>
      <c r="E566" s="2"/>
      <c r="F566" s="2"/>
      <c r="G566" s="2"/>
      <c r="H566" s="2"/>
      <c r="I566" s="2"/>
      <c r="J566" s="2"/>
      <c r="K566" s="2"/>
      <c r="L566" s="2"/>
      <c r="M566" s="2"/>
      <c r="N566" s="2"/>
      <c r="O566" s="2"/>
      <c r="P566" s="2"/>
      <c r="Q566" s="2"/>
      <c r="R566" s="2"/>
      <c r="S566" s="2"/>
      <c r="T566" s="2"/>
      <c r="U566" s="2"/>
      <c r="V566" s="22"/>
    </row>
    <row r="567" spans="4:22" ht="13.2" x14ac:dyDescent="0.25">
      <c r="D567" s="2"/>
      <c r="E567" s="2"/>
      <c r="F567" s="2"/>
      <c r="G567" s="2"/>
      <c r="H567" s="2"/>
      <c r="I567" s="2"/>
      <c r="J567" s="2"/>
      <c r="K567" s="2"/>
      <c r="L567" s="2"/>
      <c r="M567" s="2"/>
      <c r="N567" s="2"/>
      <c r="O567" s="2"/>
      <c r="P567" s="2"/>
      <c r="Q567" s="2"/>
      <c r="R567" s="2"/>
      <c r="S567" s="2"/>
      <c r="T567" s="2"/>
      <c r="U567" s="2"/>
      <c r="V567" s="22"/>
    </row>
    <row r="568" spans="4:22" ht="13.2" x14ac:dyDescent="0.25">
      <c r="D568" s="2"/>
      <c r="E568" s="2"/>
      <c r="F568" s="2"/>
      <c r="G568" s="2"/>
      <c r="H568" s="2"/>
      <c r="I568" s="2"/>
      <c r="J568" s="2"/>
      <c r="K568" s="2"/>
      <c r="L568" s="2"/>
      <c r="M568" s="2"/>
      <c r="N568" s="2"/>
      <c r="O568" s="2"/>
      <c r="P568" s="2"/>
      <c r="Q568" s="2"/>
      <c r="R568" s="2"/>
      <c r="S568" s="2"/>
      <c r="T568" s="2"/>
      <c r="U568" s="2"/>
      <c r="V568" s="22"/>
    </row>
    <row r="569" spans="4:22" ht="13.2" x14ac:dyDescent="0.25">
      <c r="D569" s="2"/>
      <c r="E569" s="2"/>
      <c r="F569" s="2"/>
      <c r="G569" s="2"/>
      <c r="H569" s="2"/>
      <c r="I569" s="2"/>
      <c r="J569" s="2"/>
      <c r="K569" s="2"/>
      <c r="L569" s="2"/>
      <c r="M569" s="2"/>
      <c r="N569" s="2"/>
      <c r="O569" s="2"/>
      <c r="P569" s="2"/>
      <c r="Q569" s="2"/>
      <c r="R569" s="2"/>
      <c r="S569" s="2"/>
      <c r="T569" s="2"/>
      <c r="U569" s="2"/>
      <c r="V569" s="22"/>
    </row>
    <row r="570" spans="4:22" ht="13.2" x14ac:dyDescent="0.25">
      <c r="D570" s="2"/>
      <c r="E570" s="2"/>
      <c r="F570" s="2"/>
      <c r="G570" s="2"/>
      <c r="H570" s="2"/>
      <c r="I570" s="2"/>
      <c r="J570" s="2"/>
      <c r="K570" s="2"/>
      <c r="L570" s="2"/>
      <c r="M570" s="2"/>
      <c r="N570" s="2"/>
      <c r="O570" s="2"/>
      <c r="P570" s="2"/>
      <c r="Q570" s="2"/>
      <c r="R570" s="2"/>
      <c r="S570" s="2"/>
      <c r="T570" s="2"/>
      <c r="U570" s="2"/>
      <c r="V570" s="22"/>
    </row>
    <row r="571" spans="4:22" ht="13.2" x14ac:dyDescent="0.25">
      <c r="D571" s="2"/>
      <c r="E571" s="2"/>
      <c r="F571" s="2"/>
      <c r="G571" s="2"/>
      <c r="H571" s="2"/>
      <c r="I571" s="2"/>
      <c r="J571" s="2"/>
      <c r="K571" s="2"/>
      <c r="L571" s="2"/>
      <c r="M571" s="2"/>
      <c r="N571" s="2"/>
      <c r="O571" s="2"/>
      <c r="P571" s="2"/>
      <c r="Q571" s="2"/>
      <c r="R571" s="2"/>
      <c r="S571" s="2"/>
      <c r="T571" s="2"/>
      <c r="U571" s="2"/>
      <c r="V571" s="22"/>
    </row>
    <row r="572" spans="4:22" ht="13.2" x14ac:dyDescent="0.25">
      <c r="D572" s="2"/>
      <c r="E572" s="2"/>
      <c r="F572" s="2"/>
      <c r="G572" s="2"/>
      <c r="H572" s="2"/>
      <c r="I572" s="2"/>
      <c r="J572" s="2"/>
      <c r="K572" s="2"/>
      <c r="L572" s="2"/>
      <c r="M572" s="2"/>
      <c r="N572" s="2"/>
      <c r="O572" s="2"/>
      <c r="P572" s="2"/>
      <c r="Q572" s="2"/>
      <c r="R572" s="2"/>
      <c r="S572" s="2"/>
      <c r="T572" s="2"/>
      <c r="U572" s="2"/>
      <c r="V572" s="22"/>
    </row>
    <row r="573" spans="4:22" ht="13.2" x14ac:dyDescent="0.25">
      <c r="D573" s="2"/>
      <c r="E573" s="2"/>
      <c r="F573" s="2"/>
      <c r="G573" s="2"/>
      <c r="H573" s="2"/>
      <c r="I573" s="2"/>
      <c r="J573" s="2"/>
      <c r="K573" s="2"/>
      <c r="L573" s="2"/>
      <c r="M573" s="2"/>
      <c r="N573" s="2"/>
      <c r="O573" s="2"/>
      <c r="P573" s="2"/>
      <c r="Q573" s="2"/>
      <c r="R573" s="2"/>
      <c r="S573" s="2"/>
      <c r="T573" s="2"/>
      <c r="U573" s="2"/>
      <c r="V573" s="22"/>
    </row>
    <row r="574" spans="4:22" ht="13.2" x14ac:dyDescent="0.25">
      <c r="D574" s="2"/>
      <c r="E574" s="2"/>
      <c r="F574" s="2"/>
      <c r="G574" s="2"/>
      <c r="H574" s="2"/>
      <c r="I574" s="2"/>
      <c r="J574" s="2"/>
      <c r="K574" s="2"/>
      <c r="L574" s="2"/>
      <c r="M574" s="2"/>
      <c r="N574" s="2"/>
      <c r="O574" s="2"/>
      <c r="P574" s="2"/>
      <c r="Q574" s="2"/>
      <c r="R574" s="2"/>
      <c r="S574" s="2"/>
      <c r="T574" s="2"/>
      <c r="U574" s="2"/>
      <c r="V574" s="22"/>
    </row>
    <row r="575" spans="4:22" ht="13.2" x14ac:dyDescent="0.25">
      <c r="D575" s="2"/>
      <c r="E575" s="2"/>
      <c r="F575" s="2"/>
      <c r="G575" s="2"/>
      <c r="H575" s="2"/>
      <c r="I575" s="2"/>
      <c r="J575" s="2"/>
      <c r="K575" s="2"/>
      <c r="L575" s="2"/>
      <c r="M575" s="2"/>
      <c r="N575" s="2"/>
      <c r="O575" s="2"/>
      <c r="P575" s="2"/>
      <c r="Q575" s="2"/>
      <c r="R575" s="2"/>
      <c r="S575" s="2"/>
      <c r="T575" s="2"/>
      <c r="U575" s="2"/>
      <c r="V575" s="22"/>
    </row>
    <row r="576" spans="4:22" ht="13.2" x14ac:dyDescent="0.25">
      <c r="D576" s="2"/>
      <c r="E576" s="2"/>
      <c r="F576" s="2"/>
      <c r="G576" s="2"/>
      <c r="H576" s="2"/>
      <c r="I576" s="2"/>
      <c r="J576" s="2"/>
      <c r="K576" s="2"/>
      <c r="L576" s="2"/>
      <c r="M576" s="2"/>
      <c r="N576" s="2"/>
      <c r="O576" s="2"/>
      <c r="P576" s="2"/>
      <c r="Q576" s="2"/>
      <c r="R576" s="2"/>
      <c r="S576" s="2"/>
      <c r="T576" s="2"/>
      <c r="U576" s="2"/>
      <c r="V576" s="22"/>
    </row>
    <row r="577" spans="4:22" ht="13.2" x14ac:dyDescent="0.25">
      <c r="D577" s="2"/>
      <c r="E577" s="2"/>
      <c r="F577" s="2"/>
      <c r="G577" s="2"/>
      <c r="H577" s="2"/>
      <c r="I577" s="2"/>
      <c r="J577" s="2"/>
      <c r="K577" s="2"/>
      <c r="L577" s="2"/>
      <c r="M577" s="2"/>
      <c r="N577" s="2"/>
      <c r="O577" s="2"/>
      <c r="P577" s="2"/>
      <c r="Q577" s="2"/>
      <c r="R577" s="2"/>
      <c r="S577" s="2"/>
      <c r="T577" s="2"/>
      <c r="U577" s="2"/>
      <c r="V577" s="22"/>
    </row>
    <row r="578" spans="4:22" ht="13.2" x14ac:dyDescent="0.25">
      <c r="D578" s="2"/>
      <c r="E578" s="2"/>
      <c r="F578" s="2"/>
      <c r="G578" s="2"/>
      <c r="H578" s="2"/>
      <c r="I578" s="2"/>
      <c r="J578" s="2"/>
      <c r="K578" s="2"/>
      <c r="L578" s="2"/>
      <c r="M578" s="2"/>
      <c r="N578" s="2"/>
      <c r="O578" s="2"/>
      <c r="P578" s="2"/>
      <c r="Q578" s="2"/>
      <c r="R578" s="2"/>
      <c r="S578" s="2"/>
      <c r="T578" s="2"/>
      <c r="U578" s="2"/>
      <c r="V578" s="22"/>
    </row>
    <row r="579" spans="4:22" ht="13.2" x14ac:dyDescent="0.25">
      <c r="D579" s="2"/>
      <c r="E579" s="2"/>
      <c r="F579" s="2"/>
      <c r="G579" s="2"/>
      <c r="H579" s="2"/>
      <c r="I579" s="2"/>
      <c r="J579" s="2"/>
      <c r="K579" s="2"/>
      <c r="L579" s="2"/>
      <c r="M579" s="2"/>
      <c r="N579" s="2"/>
      <c r="O579" s="2"/>
      <c r="P579" s="2"/>
      <c r="Q579" s="2"/>
      <c r="R579" s="2"/>
      <c r="S579" s="2"/>
      <c r="T579" s="2"/>
      <c r="U579" s="2"/>
      <c r="V579" s="22"/>
    </row>
    <row r="580" spans="4:22" ht="13.2" x14ac:dyDescent="0.25">
      <c r="D580" s="2"/>
      <c r="E580" s="2"/>
      <c r="F580" s="2"/>
      <c r="G580" s="2"/>
      <c r="H580" s="2"/>
      <c r="I580" s="2"/>
      <c r="J580" s="2"/>
      <c r="K580" s="2"/>
      <c r="L580" s="2"/>
      <c r="M580" s="2"/>
      <c r="N580" s="2"/>
      <c r="O580" s="2"/>
      <c r="P580" s="2"/>
      <c r="Q580" s="2"/>
      <c r="R580" s="2"/>
      <c r="S580" s="2"/>
      <c r="T580" s="2"/>
      <c r="U580" s="2"/>
      <c r="V580" s="22"/>
    </row>
    <row r="581" spans="4:22" ht="13.2" x14ac:dyDescent="0.25">
      <c r="D581" s="2"/>
      <c r="E581" s="2"/>
      <c r="F581" s="2"/>
      <c r="G581" s="2"/>
      <c r="H581" s="2"/>
      <c r="I581" s="2"/>
      <c r="J581" s="2"/>
      <c r="K581" s="2"/>
      <c r="L581" s="2"/>
      <c r="M581" s="2"/>
      <c r="N581" s="2"/>
      <c r="O581" s="2"/>
      <c r="P581" s="2"/>
      <c r="Q581" s="2"/>
      <c r="R581" s="2"/>
      <c r="S581" s="2"/>
      <c r="T581" s="2"/>
      <c r="U581" s="2"/>
      <c r="V581" s="22"/>
    </row>
    <row r="582" spans="4:22" ht="13.2" x14ac:dyDescent="0.25">
      <c r="D582" s="2"/>
      <c r="E582" s="2"/>
      <c r="F582" s="2"/>
      <c r="G582" s="2"/>
      <c r="H582" s="2"/>
      <c r="I582" s="2"/>
      <c r="J582" s="2"/>
      <c r="K582" s="2"/>
      <c r="L582" s="2"/>
      <c r="M582" s="2"/>
      <c r="N582" s="2"/>
      <c r="O582" s="2"/>
      <c r="P582" s="2"/>
      <c r="Q582" s="2"/>
      <c r="R582" s="2"/>
      <c r="S582" s="2"/>
      <c r="T582" s="2"/>
      <c r="U582" s="2"/>
      <c r="V582" s="22"/>
    </row>
    <row r="583" spans="4:22" ht="13.2" x14ac:dyDescent="0.25">
      <c r="D583" s="2"/>
      <c r="E583" s="2"/>
      <c r="F583" s="2"/>
      <c r="G583" s="2"/>
      <c r="H583" s="2"/>
      <c r="I583" s="2"/>
      <c r="J583" s="2"/>
      <c r="K583" s="2"/>
      <c r="L583" s="2"/>
      <c r="M583" s="2"/>
      <c r="N583" s="2"/>
      <c r="O583" s="2"/>
      <c r="P583" s="2"/>
      <c r="Q583" s="2"/>
      <c r="R583" s="2"/>
      <c r="S583" s="2"/>
      <c r="T583" s="2"/>
      <c r="U583" s="2"/>
      <c r="V583" s="22"/>
    </row>
    <row r="584" spans="4:22" ht="13.2" x14ac:dyDescent="0.25">
      <c r="D584" s="2"/>
      <c r="E584" s="2"/>
      <c r="F584" s="2"/>
      <c r="G584" s="2"/>
      <c r="H584" s="2"/>
      <c r="I584" s="2"/>
      <c r="J584" s="2"/>
      <c r="K584" s="2"/>
      <c r="L584" s="2"/>
      <c r="M584" s="2"/>
      <c r="N584" s="2"/>
      <c r="O584" s="2"/>
      <c r="P584" s="2"/>
      <c r="Q584" s="2"/>
      <c r="R584" s="2"/>
      <c r="S584" s="2"/>
      <c r="T584" s="2"/>
      <c r="U584" s="2"/>
      <c r="V584" s="22"/>
    </row>
    <row r="585" spans="4:22" ht="13.2" x14ac:dyDescent="0.25">
      <c r="D585" s="2"/>
      <c r="E585" s="2"/>
      <c r="F585" s="2"/>
      <c r="G585" s="2"/>
      <c r="H585" s="2"/>
      <c r="I585" s="2"/>
      <c r="J585" s="2"/>
      <c r="K585" s="2"/>
      <c r="L585" s="2"/>
      <c r="M585" s="2"/>
      <c r="N585" s="2"/>
      <c r="O585" s="2"/>
      <c r="P585" s="2"/>
      <c r="Q585" s="2"/>
      <c r="R585" s="2"/>
      <c r="S585" s="2"/>
      <c r="T585" s="2"/>
      <c r="U585" s="2"/>
      <c r="V585" s="22"/>
    </row>
    <row r="586" spans="4:22" ht="13.2" x14ac:dyDescent="0.25">
      <c r="D586" s="2"/>
      <c r="E586" s="2"/>
      <c r="F586" s="2"/>
      <c r="G586" s="2"/>
      <c r="H586" s="2"/>
      <c r="I586" s="2"/>
      <c r="J586" s="2"/>
      <c r="K586" s="2"/>
      <c r="L586" s="2"/>
      <c r="M586" s="2"/>
      <c r="N586" s="2"/>
      <c r="O586" s="2"/>
      <c r="P586" s="2"/>
      <c r="Q586" s="2"/>
      <c r="R586" s="2"/>
      <c r="S586" s="2"/>
      <c r="T586" s="2"/>
      <c r="U586" s="2"/>
      <c r="V586" s="22"/>
    </row>
    <row r="587" spans="4:22" ht="13.2" x14ac:dyDescent="0.25">
      <c r="D587" s="2"/>
      <c r="E587" s="2"/>
      <c r="F587" s="2"/>
      <c r="G587" s="2"/>
      <c r="H587" s="2"/>
      <c r="I587" s="2"/>
      <c r="J587" s="2"/>
      <c r="K587" s="2"/>
      <c r="L587" s="2"/>
      <c r="M587" s="2"/>
      <c r="N587" s="2"/>
      <c r="O587" s="2"/>
      <c r="P587" s="2"/>
      <c r="Q587" s="2"/>
      <c r="R587" s="2"/>
      <c r="S587" s="2"/>
      <c r="T587" s="2"/>
      <c r="U587" s="2"/>
      <c r="V587" s="22"/>
    </row>
    <row r="588" spans="4:22" ht="13.2" x14ac:dyDescent="0.25">
      <c r="D588" s="2"/>
      <c r="E588" s="2"/>
      <c r="F588" s="2"/>
      <c r="G588" s="2"/>
      <c r="H588" s="2"/>
      <c r="I588" s="2"/>
      <c r="J588" s="2"/>
      <c r="K588" s="2"/>
      <c r="L588" s="2"/>
      <c r="M588" s="2"/>
      <c r="N588" s="2"/>
      <c r="O588" s="2"/>
      <c r="P588" s="2"/>
      <c r="Q588" s="2"/>
      <c r="R588" s="2"/>
      <c r="S588" s="2"/>
      <c r="T588" s="2"/>
      <c r="U588" s="2"/>
      <c r="V588" s="22"/>
    </row>
    <row r="589" spans="4:22" ht="13.2" x14ac:dyDescent="0.25">
      <c r="D589" s="2"/>
      <c r="E589" s="2"/>
      <c r="F589" s="2"/>
      <c r="G589" s="2"/>
      <c r="H589" s="2"/>
      <c r="I589" s="2"/>
      <c r="J589" s="2"/>
      <c r="K589" s="2"/>
      <c r="L589" s="2"/>
      <c r="M589" s="2"/>
      <c r="N589" s="2"/>
      <c r="O589" s="2"/>
      <c r="P589" s="2"/>
      <c r="Q589" s="2"/>
      <c r="R589" s="2"/>
      <c r="S589" s="2"/>
      <c r="T589" s="2"/>
      <c r="U589" s="2"/>
      <c r="V589" s="22"/>
    </row>
    <row r="590" spans="4:22" ht="13.2" x14ac:dyDescent="0.25">
      <c r="D590" s="2"/>
      <c r="E590" s="2"/>
      <c r="F590" s="2"/>
      <c r="G590" s="2"/>
      <c r="H590" s="2"/>
      <c r="I590" s="2"/>
      <c r="J590" s="2"/>
      <c r="K590" s="2"/>
      <c r="L590" s="2"/>
      <c r="M590" s="2"/>
      <c r="N590" s="2"/>
      <c r="O590" s="2"/>
      <c r="P590" s="2"/>
      <c r="Q590" s="2"/>
      <c r="R590" s="2"/>
      <c r="S590" s="2"/>
      <c r="T590" s="2"/>
      <c r="U590" s="2"/>
      <c r="V590" s="22"/>
    </row>
    <row r="591" spans="4:22" ht="13.2" x14ac:dyDescent="0.25">
      <c r="D591" s="2"/>
      <c r="E591" s="2"/>
      <c r="F591" s="2"/>
      <c r="G591" s="2"/>
      <c r="H591" s="2"/>
      <c r="I591" s="2"/>
      <c r="J591" s="2"/>
      <c r="K591" s="2"/>
      <c r="L591" s="2"/>
      <c r="M591" s="2"/>
      <c r="N591" s="2"/>
      <c r="O591" s="2"/>
      <c r="P591" s="2"/>
      <c r="Q591" s="2"/>
      <c r="R591" s="2"/>
      <c r="S591" s="2"/>
      <c r="T591" s="2"/>
      <c r="U591" s="2"/>
      <c r="V591" s="22"/>
    </row>
    <row r="592" spans="4:22" ht="13.2" x14ac:dyDescent="0.25">
      <c r="D592" s="2"/>
      <c r="E592" s="2"/>
      <c r="F592" s="2"/>
      <c r="G592" s="2"/>
      <c r="H592" s="2"/>
      <c r="I592" s="2"/>
      <c r="J592" s="2"/>
      <c r="K592" s="2"/>
      <c r="L592" s="2"/>
      <c r="M592" s="2"/>
      <c r="N592" s="2"/>
      <c r="O592" s="2"/>
      <c r="P592" s="2"/>
      <c r="Q592" s="2"/>
      <c r="R592" s="2"/>
      <c r="S592" s="2"/>
      <c r="T592" s="2"/>
      <c r="U592" s="2"/>
      <c r="V592" s="22"/>
    </row>
    <row r="593" spans="4:22" ht="13.2" x14ac:dyDescent="0.25">
      <c r="D593" s="2"/>
      <c r="E593" s="2"/>
      <c r="F593" s="2"/>
      <c r="G593" s="2"/>
      <c r="H593" s="2"/>
      <c r="I593" s="2"/>
      <c r="J593" s="2"/>
      <c r="K593" s="2"/>
      <c r="L593" s="2"/>
      <c r="M593" s="2"/>
      <c r="N593" s="2"/>
      <c r="O593" s="2"/>
      <c r="P593" s="2"/>
      <c r="Q593" s="2"/>
      <c r="R593" s="2"/>
      <c r="S593" s="2"/>
      <c r="T593" s="2"/>
      <c r="U593" s="2"/>
      <c r="V593" s="22"/>
    </row>
    <row r="594" spans="4:22" ht="13.2" x14ac:dyDescent="0.25">
      <c r="D594" s="2"/>
      <c r="E594" s="2"/>
      <c r="F594" s="2"/>
      <c r="G594" s="2"/>
      <c r="H594" s="2"/>
      <c r="I594" s="2"/>
      <c r="J594" s="2"/>
      <c r="K594" s="2"/>
      <c r="L594" s="2"/>
      <c r="M594" s="2"/>
      <c r="N594" s="2"/>
      <c r="O594" s="2"/>
      <c r="P594" s="2"/>
      <c r="Q594" s="2"/>
      <c r="R594" s="2"/>
      <c r="S594" s="2"/>
      <c r="T594" s="2"/>
      <c r="U594" s="2"/>
      <c r="V594" s="22"/>
    </row>
    <row r="595" spans="4:22" ht="13.2" x14ac:dyDescent="0.25">
      <c r="D595" s="2"/>
      <c r="E595" s="2"/>
      <c r="F595" s="2"/>
      <c r="G595" s="2"/>
      <c r="H595" s="2"/>
      <c r="I595" s="2"/>
      <c r="J595" s="2"/>
      <c r="K595" s="2"/>
      <c r="L595" s="2"/>
      <c r="M595" s="2"/>
      <c r="N595" s="2"/>
      <c r="O595" s="2"/>
      <c r="P595" s="2"/>
      <c r="Q595" s="2"/>
      <c r="R595" s="2"/>
      <c r="S595" s="2"/>
      <c r="T595" s="2"/>
      <c r="U595" s="2"/>
      <c r="V595" s="22"/>
    </row>
    <row r="596" spans="4:22" ht="13.2" x14ac:dyDescent="0.25">
      <c r="D596" s="2"/>
      <c r="E596" s="2"/>
      <c r="F596" s="2"/>
      <c r="G596" s="2"/>
      <c r="H596" s="2"/>
      <c r="I596" s="2"/>
      <c r="J596" s="2"/>
      <c r="K596" s="2"/>
      <c r="L596" s="2"/>
      <c r="M596" s="2"/>
      <c r="N596" s="2"/>
      <c r="O596" s="2"/>
      <c r="P596" s="2"/>
      <c r="Q596" s="2"/>
      <c r="R596" s="2"/>
      <c r="S596" s="2"/>
      <c r="T596" s="2"/>
      <c r="U596" s="2"/>
      <c r="V596" s="22"/>
    </row>
    <row r="597" spans="4:22" ht="13.2" x14ac:dyDescent="0.25">
      <c r="D597" s="2"/>
      <c r="E597" s="2"/>
      <c r="F597" s="2"/>
      <c r="G597" s="2"/>
      <c r="H597" s="2"/>
      <c r="I597" s="2"/>
      <c r="J597" s="2"/>
      <c r="K597" s="2"/>
      <c r="L597" s="2"/>
      <c r="M597" s="2"/>
      <c r="N597" s="2"/>
      <c r="O597" s="2"/>
      <c r="P597" s="2"/>
      <c r="Q597" s="2"/>
      <c r="R597" s="2"/>
      <c r="S597" s="2"/>
      <c r="T597" s="2"/>
      <c r="U597" s="2"/>
      <c r="V597" s="22"/>
    </row>
    <row r="598" spans="4:22" ht="13.2" x14ac:dyDescent="0.25">
      <c r="D598" s="2"/>
      <c r="E598" s="2"/>
      <c r="F598" s="2"/>
      <c r="G598" s="2"/>
      <c r="H598" s="2"/>
      <c r="I598" s="2"/>
      <c r="J598" s="2"/>
      <c r="K598" s="2"/>
      <c r="L598" s="2"/>
      <c r="M598" s="2"/>
      <c r="N598" s="2"/>
      <c r="O598" s="2"/>
      <c r="P598" s="2"/>
      <c r="Q598" s="2"/>
      <c r="R598" s="2"/>
      <c r="S598" s="2"/>
      <c r="T598" s="2"/>
      <c r="U598" s="2"/>
      <c r="V598" s="22"/>
    </row>
    <row r="599" spans="4:22" ht="13.2" x14ac:dyDescent="0.25">
      <c r="D599" s="2"/>
      <c r="E599" s="2"/>
      <c r="F599" s="2"/>
      <c r="G599" s="2"/>
      <c r="H599" s="2"/>
      <c r="I599" s="2"/>
      <c r="J599" s="2"/>
      <c r="K599" s="2"/>
      <c r="L599" s="2"/>
      <c r="M599" s="2"/>
      <c r="N599" s="2"/>
      <c r="O599" s="2"/>
      <c r="P599" s="2"/>
      <c r="Q599" s="2"/>
      <c r="R599" s="2"/>
      <c r="S599" s="2"/>
      <c r="T599" s="2"/>
      <c r="U599" s="2"/>
      <c r="V599" s="22"/>
    </row>
    <row r="600" spans="4:22" ht="13.2" x14ac:dyDescent="0.25">
      <c r="D600" s="2"/>
      <c r="E600" s="2"/>
      <c r="F600" s="2"/>
      <c r="G600" s="2"/>
      <c r="H600" s="2"/>
      <c r="I600" s="2"/>
      <c r="J600" s="2"/>
      <c r="K600" s="2"/>
      <c r="L600" s="2"/>
      <c r="M600" s="2"/>
      <c r="N600" s="2"/>
      <c r="O600" s="2"/>
      <c r="P600" s="2"/>
      <c r="Q600" s="2"/>
      <c r="R600" s="2"/>
      <c r="S600" s="2"/>
      <c r="T600" s="2"/>
      <c r="U600" s="2"/>
      <c r="V600" s="22"/>
    </row>
    <row r="601" spans="4:22" ht="13.2" x14ac:dyDescent="0.25">
      <c r="D601" s="2"/>
      <c r="E601" s="2"/>
      <c r="F601" s="2"/>
      <c r="G601" s="2"/>
      <c r="H601" s="2"/>
      <c r="I601" s="2"/>
      <c r="J601" s="2"/>
      <c r="K601" s="2"/>
      <c r="L601" s="2"/>
      <c r="M601" s="2"/>
      <c r="N601" s="2"/>
      <c r="O601" s="2"/>
      <c r="P601" s="2"/>
      <c r="Q601" s="2"/>
      <c r="R601" s="2"/>
      <c r="S601" s="2"/>
      <c r="T601" s="2"/>
      <c r="U601" s="2"/>
      <c r="V601" s="22"/>
    </row>
    <row r="602" spans="4:22" ht="13.2" x14ac:dyDescent="0.25">
      <c r="D602" s="2"/>
      <c r="E602" s="2"/>
      <c r="F602" s="2"/>
      <c r="G602" s="2"/>
      <c r="H602" s="2"/>
      <c r="I602" s="2"/>
      <c r="J602" s="2"/>
      <c r="K602" s="2"/>
      <c r="L602" s="2"/>
      <c r="M602" s="2"/>
      <c r="N602" s="2"/>
      <c r="O602" s="2"/>
      <c r="P602" s="2"/>
      <c r="Q602" s="2"/>
      <c r="R602" s="2"/>
      <c r="S602" s="2"/>
      <c r="T602" s="2"/>
      <c r="U602" s="2"/>
      <c r="V602" s="22"/>
    </row>
    <row r="603" spans="4:22" ht="13.2" x14ac:dyDescent="0.25">
      <c r="D603" s="2"/>
      <c r="E603" s="2"/>
      <c r="F603" s="2"/>
      <c r="G603" s="2"/>
      <c r="H603" s="2"/>
      <c r="I603" s="2"/>
      <c r="J603" s="2"/>
      <c r="K603" s="2"/>
      <c r="L603" s="2"/>
      <c r="M603" s="2"/>
      <c r="N603" s="2"/>
      <c r="O603" s="2"/>
      <c r="P603" s="2"/>
      <c r="Q603" s="2"/>
      <c r="R603" s="2"/>
      <c r="S603" s="2"/>
      <c r="T603" s="2"/>
      <c r="U603" s="2"/>
      <c r="V603" s="22"/>
    </row>
    <row r="604" spans="4:22" ht="13.2" x14ac:dyDescent="0.25">
      <c r="D604" s="2"/>
      <c r="E604" s="2"/>
      <c r="F604" s="2"/>
      <c r="G604" s="2"/>
      <c r="H604" s="2"/>
      <c r="I604" s="2"/>
      <c r="J604" s="2"/>
      <c r="K604" s="2"/>
      <c r="L604" s="2"/>
      <c r="M604" s="2"/>
      <c r="N604" s="2"/>
      <c r="O604" s="2"/>
      <c r="P604" s="2"/>
      <c r="Q604" s="2"/>
      <c r="R604" s="2"/>
      <c r="S604" s="2"/>
      <c r="T604" s="2"/>
      <c r="U604" s="2"/>
      <c r="V604" s="22"/>
    </row>
    <row r="605" spans="4:22" ht="13.2" x14ac:dyDescent="0.25">
      <c r="D605" s="2"/>
      <c r="E605" s="2"/>
      <c r="F605" s="2"/>
      <c r="G605" s="2"/>
      <c r="H605" s="2"/>
      <c r="I605" s="2"/>
      <c r="J605" s="2"/>
      <c r="K605" s="2"/>
      <c r="L605" s="2"/>
      <c r="M605" s="2"/>
      <c r="N605" s="2"/>
      <c r="O605" s="2"/>
      <c r="P605" s="2"/>
      <c r="Q605" s="2"/>
      <c r="R605" s="2"/>
      <c r="S605" s="2"/>
      <c r="T605" s="2"/>
      <c r="U605" s="2"/>
      <c r="V605" s="22"/>
    </row>
    <row r="606" spans="4:22" ht="13.2" x14ac:dyDescent="0.25">
      <c r="D606" s="2"/>
      <c r="E606" s="2"/>
      <c r="F606" s="2"/>
      <c r="G606" s="2"/>
      <c r="H606" s="2"/>
      <c r="I606" s="2"/>
      <c r="J606" s="2"/>
      <c r="K606" s="2"/>
      <c r="L606" s="2"/>
      <c r="M606" s="2"/>
      <c r="N606" s="2"/>
      <c r="O606" s="2"/>
      <c r="P606" s="2"/>
      <c r="Q606" s="2"/>
      <c r="R606" s="2"/>
      <c r="S606" s="2"/>
      <c r="T606" s="2"/>
      <c r="U606" s="2"/>
      <c r="V606" s="22"/>
    </row>
    <row r="607" spans="4:22" ht="13.2" x14ac:dyDescent="0.25">
      <c r="D607" s="2"/>
      <c r="E607" s="2"/>
      <c r="F607" s="2"/>
      <c r="G607" s="2"/>
      <c r="H607" s="2"/>
      <c r="I607" s="2"/>
      <c r="J607" s="2"/>
      <c r="K607" s="2"/>
      <c r="L607" s="2"/>
      <c r="M607" s="2"/>
      <c r="N607" s="2"/>
      <c r="O607" s="2"/>
      <c r="P607" s="2"/>
      <c r="Q607" s="2"/>
      <c r="R607" s="2"/>
      <c r="S607" s="2"/>
      <c r="T607" s="2"/>
      <c r="U607" s="2"/>
      <c r="V607" s="22"/>
    </row>
    <row r="608" spans="4:22" ht="13.2" x14ac:dyDescent="0.25">
      <c r="D608" s="2"/>
      <c r="E608" s="2"/>
      <c r="F608" s="2"/>
      <c r="G608" s="2"/>
      <c r="H608" s="2"/>
      <c r="I608" s="2"/>
      <c r="J608" s="2"/>
      <c r="K608" s="2"/>
      <c r="L608" s="2"/>
      <c r="M608" s="2"/>
      <c r="N608" s="2"/>
      <c r="O608" s="2"/>
      <c r="P608" s="2"/>
      <c r="Q608" s="2"/>
      <c r="R608" s="2"/>
      <c r="S608" s="2"/>
      <c r="T608" s="2"/>
      <c r="U608" s="2"/>
      <c r="V608" s="22"/>
    </row>
    <row r="609" spans="4:22" ht="13.2" x14ac:dyDescent="0.25">
      <c r="D609" s="2"/>
      <c r="E609" s="2"/>
      <c r="F609" s="2"/>
      <c r="G609" s="2"/>
      <c r="H609" s="2"/>
      <c r="I609" s="2"/>
      <c r="J609" s="2"/>
      <c r="K609" s="2"/>
      <c r="L609" s="2"/>
      <c r="M609" s="2"/>
      <c r="N609" s="2"/>
      <c r="O609" s="2"/>
      <c r="P609" s="2"/>
      <c r="Q609" s="2"/>
      <c r="R609" s="2"/>
      <c r="S609" s="2"/>
      <c r="T609" s="2"/>
      <c r="U609" s="2"/>
      <c r="V609" s="22"/>
    </row>
    <row r="610" spans="4:22" ht="13.2" x14ac:dyDescent="0.25">
      <c r="D610" s="2"/>
      <c r="E610" s="2"/>
      <c r="F610" s="2"/>
      <c r="G610" s="2"/>
      <c r="H610" s="2"/>
      <c r="I610" s="2"/>
      <c r="J610" s="2"/>
      <c r="K610" s="2"/>
      <c r="L610" s="2"/>
      <c r="M610" s="2"/>
      <c r="N610" s="2"/>
      <c r="O610" s="2"/>
      <c r="P610" s="2"/>
      <c r="Q610" s="2"/>
      <c r="R610" s="2"/>
      <c r="S610" s="2"/>
      <c r="T610" s="2"/>
      <c r="U610" s="2"/>
      <c r="V610" s="22"/>
    </row>
    <row r="611" spans="4:22" ht="13.2" x14ac:dyDescent="0.25">
      <c r="D611" s="2"/>
      <c r="E611" s="2"/>
      <c r="F611" s="2"/>
      <c r="G611" s="2"/>
      <c r="H611" s="2"/>
      <c r="I611" s="2"/>
      <c r="J611" s="2"/>
      <c r="K611" s="2"/>
      <c r="L611" s="2"/>
      <c r="M611" s="2"/>
      <c r="N611" s="2"/>
      <c r="O611" s="2"/>
      <c r="P611" s="2"/>
      <c r="Q611" s="2"/>
      <c r="R611" s="2"/>
      <c r="S611" s="2"/>
      <c r="T611" s="2"/>
      <c r="U611" s="2"/>
      <c r="V611" s="22"/>
    </row>
    <row r="612" spans="4:22" ht="13.2" x14ac:dyDescent="0.25">
      <c r="D612" s="2"/>
      <c r="E612" s="2"/>
      <c r="F612" s="2"/>
      <c r="G612" s="2"/>
      <c r="H612" s="2"/>
      <c r="I612" s="2"/>
      <c r="J612" s="2"/>
      <c r="K612" s="2"/>
      <c r="L612" s="2"/>
      <c r="M612" s="2"/>
      <c r="N612" s="2"/>
      <c r="O612" s="2"/>
      <c r="P612" s="2"/>
      <c r="Q612" s="2"/>
      <c r="R612" s="2"/>
      <c r="S612" s="2"/>
      <c r="T612" s="2"/>
      <c r="U612" s="2"/>
      <c r="V612" s="22"/>
    </row>
    <row r="613" spans="4:22" ht="13.2" x14ac:dyDescent="0.25">
      <c r="D613" s="2"/>
      <c r="E613" s="2"/>
      <c r="F613" s="2"/>
      <c r="G613" s="2"/>
      <c r="H613" s="2"/>
      <c r="I613" s="2"/>
      <c r="J613" s="2"/>
      <c r="K613" s="2"/>
      <c r="L613" s="2"/>
      <c r="M613" s="2"/>
      <c r="N613" s="2"/>
      <c r="O613" s="2"/>
      <c r="P613" s="2"/>
      <c r="Q613" s="2"/>
      <c r="R613" s="2"/>
      <c r="S613" s="2"/>
      <c r="T613" s="2"/>
      <c r="U613" s="2"/>
      <c r="V613" s="22"/>
    </row>
    <row r="614" spans="4:22" ht="13.2" x14ac:dyDescent="0.25">
      <c r="D614" s="2"/>
      <c r="E614" s="2"/>
      <c r="F614" s="2"/>
      <c r="G614" s="2"/>
      <c r="H614" s="2"/>
      <c r="I614" s="2"/>
      <c r="J614" s="2"/>
      <c r="K614" s="2"/>
      <c r="L614" s="2"/>
      <c r="M614" s="2"/>
      <c r="N614" s="2"/>
      <c r="O614" s="2"/>
      <c r="P614" s="2"/>
      <c r="Q614" s="2"/>
      <c r="R614" s="2"/>
      <c r="S614" s="2"/>
      <c r="T614" s="2"/>
      <c r="U614" s="2"/>
      <c r="V614" s="22"/>
    </row>
    <row r="615" spans="4:22" ht="13.2" x14ac:dyDescent="0.25">
      <c r="D615" s="2"/>
      <c r="E615" s="2"/>
      <c r="F615" s="2"/>
      <c r="G615" s="2"/>
      <c r="H615" s="2"/>
      <c r="I615" s="2"/>
      <c r="J615" s="2"/>
      <c r="K615" s="2"/>
      <c r="L615" s="2"/>
      <c r="M615" s="2"/>
      <c r="N615" s="2"/>
      <c r="O615" s="2"/>
      <c r="P615" s="2"/>
      <c r="Q615" s="2"/>
      <c r="R615" s="2"/>
      <c r="S615" s="2"/>
      <c r="T615" s="2"/>
      <c r="U615" s="2"/>
      <c r="V615" s="22"/>
    </row>
    <row r="616" spans="4:22" ht="13.2" x14ac:dyDescent="0.25">
      <c r="D616" s="2"/>
      <c r="E616" s="2"/>
      <c r="F616" s="2"/>
      <c r="G616" s="2"/>
      <c r="H616" s="2"/>
      <c r="I616" s="2"/>
      <c r="J616" s="2"/>
      <c r="K616" s="2"/>
      <c r="L616" s="2"/>
      <c r="M616" s="2"/>
      <c r="N616" s="2"/>
      <c r="O616" s="2"/>
      <c r="P616" s="2"/>
      <c r="Q616" s="2"/>
      <c r="R616" s="2"/>
      <c r="S616" s="2"/>
      <c r="T616" s="2"/>
      <c r="U616" s="2"/>
      <c r="V616" s="22"/>
    </row>
    <row r="617" spans="4:22" ht="13.2" x14ac:dyDescent="0.25">
      <c r="D617" s="2"/>
      <c r="E617" s="2"/>
      <c r="F617" s="2"/>
      <c r="G617" s="2"/>
      <c r="H617" s="2"/>
      <c r="I617" s="2"/>
      <c r="J617" s="2"/>
      <c r="K617" s="2"/>
      <c r="L617" s="2"/>
      <c r="M617" s="2"/>
      <c r="N617" s="2"/>
      <c r="O617" s="2"/>
      <c r="P617" s="2"/>
      <c r="Q617" s="2"/>
      <c r="R617" s="2"/>
      <c r="S617" s="2"/>
      <c r="T617" s="2"/>
      <c r="U617" s="2"/>
      <c r="V617" s="22"/>
    </row>
    <row r="618" spans="4:22" ht="13.2" x14ac:dyDescent="0.25">
      <c r="D618" s="2"/>
      <c r="E618" s="2"/>
      <c r="F618" s="2"/>
      <c r="G618" s="2"/>
      <c r="H618" s="2"/>
      <c r="I618" s="2"/>
      <c r="J618" s="2"/>
      <c r="K618" s="2"/>
      <c r="L618" s="2"/>
      <c r="M618" s="2"/>
      <c r="N618" s="2"/>
      <c r="O618" s="2"/>
      <c r="P618" s="2"/>
      <c r="Q618" s="2"/>
      <c r="R618" s="2"/>
      <c r="S618" s="2"/>
      <c r="T618" s="2"/>
      <c r="U618" s="2"/>
      <c r="V618" s="22"/>
    </row>
    <row r="619" spans="4:22" ht="13.2" x14ac:dyDescent="0.25">
      <c r="D619" s="2"/>
      <c r="E619" s="2"/>
      <c r="F619" s="2"/>
      <c r="G619" s="2"/>
      <c r="H619" s="2"/>
      <c r="I619" s="2"/>
      <c r="J619" s="2"/>
      <c r="K619" s="2"/>
      <c r="L619" s="2"/>
      <c r="M619" s="2"/>
      <c r="N619" s="2"/>
      <c r="O619" s="2"/>
      <c r="P619" s="2"/>
      <c r="Q619" s="2"/>
      <c r="R619" s="2"/>
      <c r="S619" s="2"/>
      <c r="T619" s="2"/>
      <c r="U619" s="2"/>
      <c r="V619" s="22"/>
    </row>
    <row r="620" spans="4:22" ht="13.2" x14ac:dyDescent="0.25">
      <c r="D620" s="2"/>
      <c r="E620" s="2"/>
      <c r="F620" s="2"/>
      <c r="G620" s="2"/>
      <c r="H620" s="2"/>
      <c r="I620" s="2"/>
      <c r="J620" s="2"/>
      <c r="K620" s="2"/>
      <c r="L620" s="2"/>
      <c r="M620" s="2"/>
      <c r="N620" s="2"/>
      <c r="O620" s="2"/>
      <c r="P620" s="2"/>
      <c r="Q620" s="2"/>
      <c r="R620" s="2"/>
      <c r="S620" s="2"/>
      <c r="T620" s="2"/>
      <c r="U620" s="2"/>
      <c r="V620" s="22"/>
    </row>
    <row r="621" spans="4:22" ht="13.2" x14ac:dyDescent="0.25">
      <c r="D621" s="2"/>
      <c r="E621" s="2"/>
      <c r="F621" s="2"/>
      <c r="G621" s="2"/>
      <c r="H621" s="2"/>
      <c r="I621" s="2"/>
      <c r="J621" s="2"/>
      <c r="K621" s="2"/>
      <c r="L621" s="2"/>
      <c r="M621" s="2"/>
      <c r="N621" s="2"/>
      <c r="O621" s="2"/>
      <c r="P621" s="2"/>
      <c r="Q621" s="2"/>
      <c r="R621" s="2"/>
      <c r="S621" s="2"/>
      <c r="T621" s="2"/>
      <c r="U621" s="2"/>
      <c r="V621" s="22"/>
    </row>
    <row r="622" spans="4:22" ht="13.2" x14ac:dyDescent="0.25">
      <c r="D622" s="2"/>
      <c r="E622" s="2"/>
      <c r="F622" s="2"/>
      <c r="G622" s="2"/>
      <c r="H622" s="2"/>
      <c r="I622" s="2"/>
      <c r="J622" s="2"/>
      <c r="K622" s="2"/>
      <c r="L622" s="2"/>
      <c r="M622" s="2"/>
      <c r="N622" s="2"/>
      <c r="O622" s="2"/>
      <c r="P622" s="2"/>
      <c r="Q622" s="2"/>
      <c r="R622" s="2"/>
      <c r="S622" s="2"/>
      <c r="T622" s="2"/>
      <c r="U622" s="2"/>
      <c r="V622" s="22"/>
    </row>
    <row r="623" spans="4:22" ht="13.2" x14ac:dyDescent="0.25">
      <c r="D623" s="2"/>
      <c r="E623" s="2"/>
      <c r="F623" s="2"/>
      <c r="G623" s="2"/>
      <c r="H623" s="2"/>
      <c r="I623" s="2"/>
      <c r="J623" s="2"/>
      <c r="K623" s="2"/>
      <c r="L623" s="2"/>
      <c r="M623" s="2"/>
      <c r="N623" s="2"/>
      <c r="O623" s="2"/>
      <c r="P623" s="2"/>
      <c r="Q623" s="2"/>
      <c r="R623" s="2"/>
      <c r="S623" s="2"/>
      <c r="T623" s="2"/>
      <c r="U623" s="2"/>
      <c r="V623" s="22"/>
    </row>
    <row r="624" spans="4:22" ht="13.2" x14ac:dyDescent="0.25">
      <c r="D624" s="2"/>
      <c r="E624" s="2"/>
      <c r="F624" s="2"/>
      <c r="G624" s="2"/>
      <c r="H624" s="2"/>
      <c r="I624" s="2"/>
      <c r="J624" s="2"/>
      <c r="K624" s="2"/>
      <c r="L624" s="2"/>
      <c r="M624" s="2"/>
      <c r="N624" s="2"/>
      <c r="O624" s="2"/>
      <c r="P624" s="2"/>
      <c r="Q624" s="2"/>
      <c r="R624" s="2"/>
      <c r="S624" s="2"/>
      <c r="T624" s="2"/>
      <c r="U624" s="2"/>
      <c r="V624" s="22"/>
    </row>
    <row r="625" spans="4:22" ht="13.2" x14ac:dyDescent="0.25">
      <c r="D625" s="2"/>
      <c r="E625" s="2"/>
      <c r="F625" s="2"/>
      <c r="G625" s="2"/>
      <c r="H625" s="2"/>
      <c r="I625" s="2"/>
      <c r="J625" s="2"/>
      <c r="K625" s="2"/>
      <c r="L625" s="2"/>
      <c r="M625" s="2"/>
      <c r="N625" s="2"/>
      <c r="O625" s="2"/>
      <c r="P625" s="2"/>
      <c r="Q625" s="2"/>
      <c r="R625" s="2"/>
      <c r="S625" s="2"/>
      <c r="T625" s="2"/>
      <c r="U625" s="2"/>
      <c r="V625" s="22"/>
    </row>
    <row r="626" spans="4:22" ht="13.2" x14ac:dyDescent="0.25">
      <c r="D626" s="2"/>
      <c r="E626" s="2"/>
      <c r="F626" s="2"/>
      <c r="G626" s="2"/>
      <c r="H626" s="2"/>
      <c r="I626" s="2"/>
      <c r="J626" s="2"/>
      <c r="K626" s="2"/>
      <c r="L626" s="2"/>
      <c r="M626" s="2"/>
      <c r="N626" s="2"/>
      <c r="O626" s="2"/>
      <c r="P626" s="2"/>
      <c r="Q626" s="2"/>
      <c r="R626" s="2"/>
      <c r="S626" s="2"/>
      <c r="T626" s="2"/>
      <c r="U626" s="2"/>
      <c r="V626" s="22"/>
    </row>
    <row r="627" spans="4:22" ht="13.2" x14ac:dyDescent="0.25">
      <c r="D627" s="2"/>
      <c r="E627" s="2"/>
      <c r="F627" s="2"/>
      <c r="G627" s="2"/>
      <c r="H627" s="2"/>
      <c r="I627" s="2"/>
      <c r="J627" s="2"/>
      <c r="K627" s="2"/>
      <c r="L627" s="2"/>
      <c r="M627" s="2"/>
      <c r="N627" s="2"/>
      <c r="O627" s="2"/>
      <c r="P627" s="2"/>
      <c r="Q627" s="2"/>
      <c r="R627" s="2"/>
      <c r="S627" s="2"/>
      <c r="T627" s="2"/>
      <c r="U627" s="2"/>
      <c r="V627" s="22"/>
    </row>
    <row r="628" spans="4:22" ht="13.2" x14ac:dyDescent="0.25">
      <c r="D628" s="2"/>
      <c r="E628" s="2"/>
      <c r="F628" s="2"/>
      <c r="G628" s="2"/>
      <c r="H628" s="2"/>
      <c r="I628" s="2"/>
      <c r="J628" s="2"/>
      <c r="K628" s="2"/>
      <c r="L628" s="2"/>
      <c r="M628" s="2"/>
      <c r="N628" s="2"/>
      <c r="O628" s="2"/>
      <c r="P628" s="2"/>
      <c r="Q628" s="2"/>
      <c r="R628" s="2"/>
      <c r="S628" s="2"/>
      <c r="T628" s="2"/>
      <c r="U628" s="2"/>
      <c r="V628" s="22"/>
    </row>
    <row r="629" spans="4:22" ht="13.2" x14ac:dyDescent="0.25">
      <c r="D629" s="2"/>
      <c r="E629" s="2"/>
      <c r="F629" s="2"/>
      <c r="G629" s="2"/>
      <c r="H629" s="2"/>
      <c r="I629" s="2"/>
      <c r="J629" s="2"/>
      <c r="K629" s="2"/>
      <c r="L629" s="2"/>
      <c r="M629" s="2"/>
      <c r="N629" s="2"/>
      <c r="O629" s="2"/>
      <c r="P629" s="2"/>
      <c r="Q629" s="2"/>
      <c r="R629" s="2"/>
      <c r="S629" s="2"/>
      <c r="T629" s="2"/>
      <c r="U629" s="2"/>
      <c r="V629" s="22"/>
    </row>
    <row r="630" spans="4:22" ht="13.2" x14ac:dyDescent="0.25">
      <c r="D630" s="2"/>
      <c r="E630" s="2"/>
      <c r="F630" s="2"/>
      <c r="G630" s="2"/>
      <c r="H630" s="2"/>
      <c r="I630" s="2"/>
      <c r="J630" s="2"/>
      <c r="K630" s="2"/>
      <c r="L630" s="2"/>
      <c r="M630" s="2"/>
      <c r="N630" s="2"/>
      <c r="O630" s="2"/>
      <c r="P630" s="2"/>
      <c r="Q630" s="2"/>
      <c r="R630" s="2"/>
      <c r="S630" s="2"/>
      <c r="T630" s="2"/>
      <c r="U630" s="2"/>
      <c r="V630" s="22"/>
    </row>
    <row r="631" spans="4:22" ht="13.2" x14ac:dyDescent="0.25">
      <c r="D631" s="2"/>
      <c r="E631" s="2"/>
      <c r="F631" s="2"/>
      <c r="G631" s="2"/>
      <c r="H631" s="2"/>
      <c r="I631" s="2"/>
      <c r="J631" s="2"/>
      <c r="K631" s="2"/>
      <c r="L631" s="2"/>
      <c r="M631" s="2"/>
      <c r="N631" s="2"/>
      <c r="O631" s="2"/>
      <c r="P631" s="2"/>
      <c r="Q631" s="2"/>
      <c r="R631" s="2"/>
      <c r="S631" s="2"/>
      <c r="T631" s="2"/>
      <c r="U631" s="2"/>
      <c r="V631" s="22"/>
    </row>
    <row r="632" spans="4:22" ht="13.2" x14ac:dyDescent="0.25">
      <c r="D632" s="2"/>
      <c r="E632" s="2"/>
      <c r="F632" s="2"/>
      <c r="G632" s="2"/>
      <c r="H632" s="2"/>
      <c r="I632" s="2"/>
      <c r="J632" s="2"/>
      <c r="K632" s="2"/>
      <c r="L632" s="2"/>
      <c r="M632" s="2"/>
      <c r="N632" s="2"/>
      <c r="O632" s="2"/>
      <c r="P632" s="2"/>
      <c r="Q632" s="2"/>
      <c r="R632" s="2"/>
      <c r="S632" s="2"/>
      <c r="T632" s="2"/>
      <c r="U632" s="2"/>
      <c r="V632" s="22"/>
    </row>
    <row r="633" spans="4:22" ht="13.2" x14ac:dyDescent="0.25">
      <c r="D633" s="2"/>
      <c r="E633" s="2"/>
      <c r="F633" s="2"/>
      <c r="G633" s="2"/>
      <c r="H633" s="2"/>
      <c r="I633" s="2"/>
      <c r="J633" s="2"/>
      <c r="K633" s="2"/>
      <c r="L633" s="2"/>
      <c r="M633" s="2"/>
      <c r="N633" s="2"/>
      <c r="O633" s="2"/>
      <c r="P633" s="2"/>
      <c r="Q633" s="2"/>
      <c r="R633" s="2"/>
      <c r="S633" s="2"/>
      <c r="T633" s="2"/>
      <c r="U633" s="2"/>
      <c r="V633" s="22"/>
    </row>
    <row r="634" spans="4:22" ht="13.2" x14ac:dyDescent="0.25">
      <c r="D634" s="2"/>
      <c r="E634" s="2"/>
      <c r="F634" s="2"/>
      <c r="G634" s="2"/>
      <c r="H634" s="2"/>
      <c r="I634" s="2"/>
      <c r="J634" s="2"/>
      <c r="K634" s="2"/>
      <c r="L634" s="2"/>
      <c r="M634" s="2"/>
      <c r="N634" s="2"/>
      <c r="O634" s="2"/>
      <c r="P634" s="2"/>
      <c r="Q634" s="2"/>
      <c r="R634" s="2"/>
      <c r="S634" s="2"/>
      <c r="T634" s="2"/>
      <c r="U634" s="2"/>
      <c r="V634" s="22"/>
    </row>
    <row r="635" spans="4:22" ht="13.2" x14ac:dyDescent="0.25">
      <c r="D635" s="2"/>
      <c r="E635" s="2"/>
      <c r="F635" s="2"/>
      <c r="G635" s="2"/>
      <c r="H635" s="2"/>
      <c r="I635" s="2"/>
      <c r="J635" s="2"/>
      <c r="K635" s="2"/>
      <c r="L635" s="2"/>
      <c r="M635" s="2"/>
      <c r="N635" s="2"/>
      <c r="O635" s="2"/>
      <c r="P635" s="2"/>
      <c r="Q635" s="2"/>
      <c r="R635" s="2"/>
      <c r="S635" s="2"/>
      <c r="T635" s="2"/>
      <c r="U635" s="2"/>
      <c r="V635" s="22"/>
    </row>
    <row r="636" spans="4:22" ht="13.2" x14ac:dyDescent="0.25">
      <c r="D636" s="2"/>
      <c r="E636" s="2"/>
      <c r="F636" s="2"/>
      <c r="G636" s="2"/>
      <c r="H636" s="2"/>
      <c r="I636" s="2"/>
      <c r="J636" s="2"/>
      <c r="K636" s="2"/>
      <c r="L636" s="2"/>
      <c r="M636" s="2"/>
      <c r="N636" s="2"/>
      <c r="O636" s="2"/>
      <c r="P636" s="2"/>
      <c r="Q636" s="2"/>
      <c r="R636" s="2"/>
      <c r="S636" s="2"/>
      <c r="T636" s="2"/>
      <c r="U636" s="2"/>
      <c r="V636" s="22"/>
    </row>
    <row r="637" spans="4:22" ht="13.2" x14ac:dyDescent="0.25">
      <c r="D637" s="2"/>
      <c r="E637" s="2"/>
      <c r="F637" s="2"/>
      <c r="G637" s="2"/>
      <c r="H637" s="2"/>
      <c r="I637" s="2"/>
      <c r="J637" s="2"/>
      <c r="K637" s="2"/>
      <c r="L637" s="2"/>
      <c r="M637" s="2"/>
      <c r="N637" s="2"/>
      <c r="O637" s="2"/>
      <c r="P637" s="2"/>
      <c r="Q637" s="2"/>
      <c r="R637" s="2"/>
      <c r="S637" s="2"/>
      <c r="T637" s="2"/>
      <c r="U637" s="2"/>
      <c r="V637" s="22"/>
    </row>
    <row r="638" spans="4:22" ht="13.2" x14ac:dyDescent="0.25">
      <c r="D638" s="2"/>
      <c r="E638" s="2"/>
      <c r="F638" s="2"/>
      <c r="G638" s="2"/>
      <c r="H638" s="2"/>
      <c r="I638" s="2"/>
      <c r="J638" s="2"/>
      <c r="K638" s="2"/>
      <c r="L638" s="2"/>
      <c r="M638" s="2"/>
      <c r="N638" s="2"/>
      <c r="O638" s="2"/>
      <c r="P638" s="2"/>
      <c r="Q638" s="2"/>
      <c r="R638" s="2"/>
      <c r="S638" s="2"/>
      <c r="T638" s="2"/>
      <c r="U638" s="2"/>
      <c r="V638" s="22"/>
    </row>
    <row r="639" spans="4:22" ht="13.2" x14ac:dyDescent="0.25">
      <c r="D639" s="2"/>
      <c r="E639" s="2"/>
      <c r="F639" s="2"/>
      <c r="G639" s="2"/>
      <c r="H639" s="2"/>
      <c r="I639" s="2"/>
      <c r="J639" s="2"/>
      <c r="K639" s="2"/>
      <c r="L639" s="2"/>
      <c r="M639" s="2"/>
      <c r="N639" s="2"/>
      <c r="O639" s="2"/>
      <c r="P639" s="2"/>
      <c r="Q639" s="2"/>
      <c r="R639" s="2"/>
      <c r="S639" s="2"/>
      <c r="T639" s="2"/>
      <c r="U639" s="2"/>
      <c r="V639" s="22"/>
    </row>
    <row r="640" spans="4:22" ht="13.2" x14ac:dyDescent="0.25">
      <c r="D640" s="2"/>
      <c r="E640" s="2"/>
      <c r="F640" s="2"/>
      <c r="G640" s="2"/>
      <c r="H640" s="2"/>
      <c r="I640" s="2"/>
      <c r="J640" s="2"/>
      <c r="K640" s="2"/>
      <c r="L640" s="2"/>
      <c r="M640" s="2"/>
      <c r="N640" s="2"/>
      <c r="O640" s="2"/>
      <c r="P640" s="2"/>
      <c r="Q640" s="2"/>
      <c r="R640" s="2"/>
      <c r="S640" s="2"/>
      <c r="T640" s="2"/>
      <c r="U640" s="2"/>
      <c r="V640" s="22"/>
    </row>
    <row r="641" spans="4:22" ht="13.2" x14ac:dyDescent="0.25">
      <c r="D641" s="2"/>
      <c r="E641" s="2"/>
      <c r="F641" s="2"/>
      <c r="G641" s="2"/>
      <c r="H641" s="2"/>
      <c r="I641" s="2"/>
      <c r="J641" s="2"/>
      <c r="K641" s="2"/>
      <c r="L641" s="2"/>
      <c r="M641" s="2"/>
      <c r="N641" s="2"/>
      <c r="O641" s="2"/>
      <c r="P641" s="2"/>
      <c r="Q641" s="2"/>
      <c r="R641" s="2"/>
      <c r="S641" s="2"/>
      <c r="T641" s="2"/>
      <c r="U641" s="2"/>
      <c r="V641" s="22"/>
    </row>
    <row r="642" spans="4:22" ht="13.2" x14ac:dyDescent="0.25">
      <c r="D642" s="2"/>
      <c r="E642" s="2"/>
      <c r="F642" s="2"/>
      <c r="G642" s="2"/>
      <c r="H642" s="2"/>
      <c r="I642" s="2"/>
      <c r="J642" s="2"/>
      <c r="K642" s="2"/>
      <c r="L642" s="2"/>
      <c r="M642" s="2"/>
      <c r="N642" s="2"/>
      <c r="O642" s="2"/>
      <c r="P642" s="2"/>
      <c r="Q642" s="2"/>
      <c r="R642" s="2"/>
      <c r="S642" s="2"/>
      <c r="T642" s="2"/>
      <c r="U642" s="2"/>
      <c r="V642" s="22"/>
    </row>
    <row r="643" spans="4:22" ht="13.2" x14ac:dyDescent="0.25">
      <c r="D643" s="2"/>
      <c r="E643" s="2"/>
      <c r="F643" s="2"/>
      <c r="G643" s="2"/>
      <c r="H643" s="2"/>
      <c r="I643" s="2"/>
      <c r="J643" s="2"/>
      <c r="K643" s="2"/>
      <c r="L643" s="2"/>
      <c r="M643" s="2"/>
      <c r="N643" s="2"/>
      <c r="O643" s="2"/>
      <c r="P643" s="2"/>
      <c r="Q643" s="2"/>
      <c r="R643" s="2"/>
      <c r="S643" s="2"/>
      <c r="T643" s="2"/>
      <c r="U643" s="2"/>
      <c r="V643" s="22"/>
    </row>
    <row r="644" spans="4:22" ht="13.2" x14ac:dyDescent="0.25">
      <c r="D644" s="2"/>
      <c r="E644" s="2"/>
      <c r="F644" s="2"/>
      <c r="G644" s="2"/>
      <c r="H644" s="2"/>
      <c r="I644" s="2"/>
      <c r="J644" s="2"/>
      <c r="K644" s="2"/>
      <c r="L644" s="2"/>
      <c r="M644" s="2"/>
      <c r="N644" s="2"/>
      <c r="O644" s="2"/>
      <c r="P644" s="2"/>
      <c r="Q644" s="2"/>
      <c r="R644" s="2"/>
      <c r="S644" s="2"/>
      <c r="T644" s="2"/>
      <c r="U644" s="2"/>
      <c r="V644" s="22"/>
    </row>
    <row r="645" spans="4:22" ht="13.2" x14ac:dyDescent="0.25">
      <c r="D645" s="2"/>
      <c r="E645" s="2"/>
      <c r="F645" s="2"/>
      <c r="G645" s="2"/>
      <c r="H645" s="2"/>
      <c r="I645" s="2"/>
      <c r="J645" s="2"/>
      <c r="K645" s="2"/>
      <c r="L645" s="2"/>
      <c r="M645" s="2"/>
      <c r="N645" s="2"/>
      <c r="O645" s="2"/>
      <c r="P645" s="2"/>
      <c r="Q645" s="2"/>
      <c r="R645" s="2"/>
      <c r="S645" s="2"/>
      <c r="T645" s="2"/>
      <c r="U645" s="2"/>
      <c r="V645" s="22"/>
    </row>
    <row r="646" spans="4:22" ht="13.2" x14ac:dyDescent="0.25">
      <c r="D646" s="2"/>
      <c r="E646" s="2"/>
      <c r="F646" s="2"/>
      <c r="G646" s="2"/>
      <c r="H646" s="2"/>
      <c r="I646" s="2"/>
      <c r="J646" s="2"/>
      <c r="K646" s="2"/>
      <c r="L646" s="2"/>
      <c r="M646" s="2"/>
      <c r="N646" s="2"/>
      <c r="O646" s="2"/>
      <c r="P646" s="2"/>
      <c r="Q646" s="2"/>
      <c r="R646" s="2"/>
      <c r="S646" s="2"/>
      <c r="T646" s="2"/>
      <c r="U646" s="2"/>
      <c r="V646" s="22"/>
    </row>
    <row r="647" spans="4:22" ht="13.2" x14ac:dyDescent="0.25">
      <c r="D647" s="2"/>
      <c r="E647" s="2"/>
      <c r="F647" s="2"/>
      <c r="G647" s="2"/>
      <c r="H647" s="2"/>
      <c r="I647" s="2"/>
      <c r="J647" s="2"/>
      <c r="K647" s="2"/>
      <c r="L647" s="2"/>
      <c r="M647" s="2"/>
      <c r="N647" s="2"/>
      <c r="O647" s="2"/>
      <c r="P647" s="2"/>
      <c r="Q647" s="2"/>
      <c r="R647" s="2"/>
      <c r="S647" s="2"/>
      <c r="T647" s="2"/>
      <c r="U647" s="2"/>
      <c r="V647" s="22"/>
    </row>
    <row r="648" spans="4:22" ht="13.2" x14ac:dyDescent="0.25">
      <c r="D648" s="2"/>
      <c r="E648" s="2"/>
      <c r="F648" s="2"/>
      <c r="G648" s="2"/>
      <c r="H648" s="2"/>
      <c r="I648" s="2"/>
      <c r="J648" s="2"/>
      <c r="K648" s="2"/>
      <c r="L648" s="2"/>
      <c r="M648" s="2"/>
      <c r="N648" s="2"/>
      <c r="O648" s="2"/>
      <c r="P648" s="2"/>
      <c r="Q648" s="2"/>
      <c r="R648" s="2"/>
      <c r="S648" s="2"/>
      <c r="T648" s="2"/>
      <c r="U648" s="2"/>
      <c r="V648" s="22"/>
    </row>
    <row r="649" spans="4:22" ht="13.2" x14ac:dyDescent="0.25">
      <c r="D649" s="2"/>
      <c r="E649" s="2"/>
      <c r="F649" s="2"/>
      <c r="G649" s="2"/>
      <c r="H649" s="2"/>
      <c r="I649" s="2"/>
      <c r="J649" s="2"/>
      <c r="K649" s="2"/>
      <c r="L649" s="2"/>
      <c r="M649" s="2"/>
      <c r="N649" s="2"/>
      <c r="O649" s="2"/>
      <c r="P649" s="2"/>
      <c r="Q649" s="2"/>
      <c r="R649" s="2"/>
      <c r="S649" s="2"/>
      <c r="T649" s="2"/>
      <c r="U649" s="2"/>
      <c r="V649" s="22"/>
    </row>
    <row r="650" spans="4:22" ht="13.2" x14ac:dyDescent="0.25">
      <c r="D650" s="2"/>
      <c r="E650" s="2"/>
      <c r="F650" s="2"/>
      <c r="G650" s="2"/>
      <c r="H650" s="2"/>
      <c r="I650" s="2"/>
      <c r="J650" s="2"/>
      <c r="K650" s="2"/>
      <c r="L650" s="2"/>
      <c r="M650" s="2"/>
      <c r="N650" s="2"/>
      <c r="O650" s="2"/>
      <c r="P650" s="2"/>
      <c r="Q650" s="2"/>
      <c r="R650" s="2"/>
      <c r="S650" s="2"/>
      <c r="T650" s="2"/>
      <c r="U650" s="2"/>
      <c r="V650" s="22"/>
    </row>
    <row r="651" spans="4:22" ht="13.2" x14ac:dyDescent="0.25">
      <c r="D651" s="2"/>
      <c r="E651" s="2"/>
      <c r="F651" s="2"/>
      <c r="G651" s="2"/>
      <c r="H651" s="2"/>
      <c r="I651" s="2"/>
      <c r="J651" s="2"/>
      <c r="K651" s="2"/>
      <c r="L651" s="2"/>
      <c r="M651" s="2"/>
      <c r="N651" s="2"/>
      <c r="O651" s="2"/>
      <c r="P651" s="2"/>
      <c r="Q651" s="2"/>
      <c r="R651" s="2"/>
      <c r="S651" s="2"/>
      <c r="T651" s="2"/>
      <c r="U651" s="2"/>
      <c r="V651" s="22"/>
    </row>
    <row r="652" spans="4:22" ht="13.2" x14ac:dyDescent="0.25">
      <c r="D652" s="2"/>
      <c r="E652" s="2"/>
      <c r="F652" s="2"/>
      <c r="G652" s="2"/>
      <c r="H652" s="2"/>
      <c r="I652" s="2"/>
      <c r="J652" s="2"/>
      <c r="K652" s="2"/>
      <c r="L652" s="2"/>
      <c r="M652" s="2"/>
      <c r="N652" s="2"/>
      <c r="O652" s="2"/>
      <c r="P652" s="2"/>
      <c r="Q652" s="2"/>
      <c r="R652" s="2"/>
      <c r="S652" s="2"/>
      <c r="T652" s="2"/>
      <c r="U652" s="2"/>
      <c r="V652" s="22"/>
    </row>
    <row r="653" spans="4:22" ht="13.2" x14ac:dyDescent="0.25">
      <c r="D653" s="2"/>
      <c r="E653" s="2"/>
      <c r="F653" s="2"/>
      <c r="G653" s="2"/>
      <c r="H653" s="2"/>
      <c r="I653" s="2"/>
      <c r="J653" s="2"/>
      <c r="K653" s="2"/>
      <c r="L653" s="2"/>
      <c r="M653" s="2"/>
      <c r="N653" s="2"/>
      <c r="O653" s="2"/>
      <c r="P653" s="2"/>
      <c r="Q653" s="2"/>
      <c r="R653" s="2"/>
      <c r="S653" s="2"/>
      <c r="T653" s="2"/>
      <c r="U653" s="2"/>
      <c r="V653" s="22"/>
    </row>
    <row r="654" spans="4:22" ht="13.2" x14ac:dyDescent="0.25">
      <c r="D654" s="2"/>
      <c r="E654" s="2"/>
      <c r="F654" s="2"/>
      <c r="G654" s="2"/>
      <c r="H654" s="2"/>
      <c r="I654" s="2"/>
      <c r="J654" s="2"/>
      <c r="K654" s="2"/>
      <c r="L654" s="2"/>
      <c r="M654" s="2"/>
      <c r="N654" s="2"/>
      <c r="O654" s="2"/>
      <c r="P654" s="2"/>
      <c r="Q654" s="2"/>
      <c r="R654" s="2"/>
      <c r="S654" s="2"/>
      <c r="T654" s="2"/>
      <c r="U654" s="2"/>
      <c r="V654" s="22"/>
    </row>
    <row r="655" spans="4:22" ht="13.2" x14ac:dyDescent="0.25">
      <c r="D655" s="2"/>
      <c r="E655" s="2"/>
      <c r="F655" s="2"/>
      <c r="G655" s="2"/>
      <c r="H655" s="2"/>
      <c r="I655" s="2"/>
      <c r="J655" s="2"/>
      <c r="K655" s="2"/>
      <c r="L655" s="2"/>
      <c r="M655" s="2"/>
      <c r="N655" s="2"/>
      <c r="O655" s="2"/>
      <c r="P655" s="2"/>
      <c r="Q655" s="2"/>
      <c r="R655" s="2"/>
      <c r="S655" s="2"/>
      <c r="T655" s="2"/>
      <c r="U655" s="2"/>
      <c r="V655" s="22"/>
    </row>
    <row r="656" spans="4:22" ht="13.2" x14ac:dyDescent="0.25">
      <c r="D656" s="2"/>
      <c r="E656" s="2"/>
      <c r="F656" s="2"/>
      <c r="G656" s="2"/>
      <c r="H656" s="2"/>
      <c r="I656" s="2"/>
      <c r="J656" s="2"/>
      <c r="K656" s="2"/>
      <c r="L656" s="2"/>
      <c r="M656" s="2"/>
      <c r="N656" s="2"/>
      <c r="O656" s="2"/>
      <c r="P656" s="2"/>
      <c r="Q656" s="2"/>
      <c r="R656" s="2"/>
      <c r="S656" s="2"/>
      <c r="T656" s="2"/>
      <c r="U656" s="2"/>
      <c r="V656" s="22"/>
    </row>
    <row r="657" spans="4:22" ht="13.2" x14ac:dyDescent="0.25">
      <c r="D657" s="2"/>
      <c r="E657" s="2"/>
      <c r="F657" s="2"/>
      <c r="G657" s="2"/>
      <c r="H657" s="2"/>
      <c r="I657" s="2"/>
      <c r="J657" s="2"/>
      <c r="K657" s="2"/>
      <c r="L657" s="2"/>
      <c r="M657" s="2"/>
      <c r="N657" s="2"/>
      <c r="O657" s="2"/>
      <c r="P657" s="2"/>
      <c r="Q657" s="2"/>
      <c r="R657" s="2"/>
      <c r="S657" s="2"/>
      <c r="T657" s="2"/>
      <c r="U657" s="2"/>
      <c r="V657" s="22"/>
    </row>
    <row r="658" spans="4:22" ht="13.2" x14ac:dyDescent="0.25">
      <c r="D658" s="2"/>
      <c r="E658" s="2"/>
      <c r="F658" s="2"/>
      <c r="G658" s="2"/>
      <c r="H658" s="2"/>
      <c r="I658" s="2"/>
      <c r="J658" s="2"/>
      <c r="K658" s="2"/>
      <c r="L658" s="2"/>
      <c r="M658" s="2"/>
      <c r="N658" s="2"/>
      <c r="O658" s="2"/>
      <c r="P658" s="2"/>
      <c r="Q658" s="2"/>
      <c r="R658" s="2"/>
      <c r="S658" s="2"/>
      <c r="T658" s="2"/>
      <c r="U658" s="2"/>
      <c r="V658" s="22"/>
    </row>
    <row r="659" spans="4:22" ht="13.2" x14ac:dyDescent="0.25">
      <c r="D659" s="2"/>
      <c r="E659" s="2"/>
      <c r="F659" s="2"/>
      <c r="G659" s="2"/>
      <c r="H659" s="2"/>
      <c r="I659" s="2"/>
      <c r="J659" s="2"/>
      <c r="K659" s="2"/>
      <c r="L659" s="2"/>
      <c r="M659" s="2"/>
      <c r="N659" s="2"/>
      <c r="O659" s="2"/>
      <c r="P659" s="2"/>
      <c r="Q659" s="2"/>
      <c r="R659" s="2"/>
      <c r="S659" s="2"/>
      <c r="T659" s="2"/>
      <c r="U659" s="2"/>
      <c r="V659" s="22"/>
    </row>
    <row r="660" spans="4:22" ht="13.2" x14ac:dyDescent="0.25">
      <c r="D660" s="2"/>
      <c r="E660" s="2"/>
      <c r="F660" s="2"/>
      <c r="G660" s="2"/>
      <c r="H660" s="2"/>
      <c r="I660" s="2"/>
      <c r="J660" s="2"/>
      <c r="K660" s="2"/>
      <c r="L660" s="2"/>
      <c r="M660" s="2"/>
      <c r="N660" s="2"/>
      <c r="O660" s="2"/>
      <c r="P660" s="2"/>
      <c r="Q660" s="2"/>
      <c r="R660" s="2"/>
      <c r="S660" s="2"/>
      <c r="T660" s="2"/>
      <c r="U660" s="2"/>
      <c r="V660" s="22"/>
    </row>
    <row r="661" spans="4:22" ht="13.2" x14ac:dyDescent="0.25">
      <c r="D661" s="2"/>
      <c r="E661" s="2"/>
      <c r="F661" s="2"/>
      <c r="G661" s="2"/>
      <c r="H661" s="2"/>
      <c r="I661" s="2"/>
      <c r="J661" s="2"/>
      <c r="K661" s="2"/>
      <c r="L661" s="2"/>
      <c r="M661" s="2"/>
      <c r="N661" s="2"/>
      <c r="O661" s="2"/>
      <c r="P661" s="2"/>
      <c r="Q661" s="2"/>
      <c r="R661" s="2"/>
      <c r="S661" s="2"/>
      <c r="T661" s="2"/>
      <c r="U661" s="2"/>
      <c r="V661" s="22"/>
    </row>
    <row r="662" spans="4:22" ht="13.2" x14ac:dyDescent="0.25">
      <c r="D662" s="2"/>
      <c r="E662" s="2"/>
      <c r="F662" s="2"/>
      <c r="G662" s="2"/>
      <c r="H662" s="2"/>
      <c r="I662" s="2"/>
      <c r="J662" s="2"/>
      <c r="K662" s="2"/>
      <c r="L662" s="2"/>
      <c r="M662" s="2"/>
      <c r="N662" s="2"/>
      <c r="O662" s="2"/>
      <c r="P662" s="2"/>
      <c r="Q662" s="2"/>
      <c r="R662" s="2"/>
      <c r="S662" s="2"/>
      <c r="T662" s="2"/>
      <c r="U662" s="2"/>
      <c r="V662" s="22"/>
    </row>
    <row r="663" spans="4:22" ht="13.2" x14ac:dyDescent="0.25">
      <c r="D663" s="2"/>
      <c r="E663" s="2"/>
      <c r="F663" s="2"/>
      <c r="G663" s="2"/>
      <c r="H663" s="2"/>
      <c r="I663" s="2"/>
      <c r="J663" s="2"/>
      <c r="K663" s="2"/>
      <c r="L663" s="2"/>
      <c r="M663" s="2"/>
      <c r="N663" s="2"/>
      <c r="O663" s="2"/>
      <c r="P663" s="2"/>
      <c r="Q663" s="2"/>
      <c r="R663" s="2"/>
      <c r="S663" s="2"/>
      <c r="T663" s="2"/>
      <c r="U663" s="2"/>
      <c r="V663" s="22"/>
    </row>
    <row r="664" spans="4:22" ht="13.2" x14ac:dyDescent="0.25">
      <c r="D664" s="2"/>
      <c r="E664" s="2"/>
      <c r="F664" s="2"/>
      <c r="G664" s="2"/>
      <c r="H664" s="2"/>
      <c r="I664" s="2"/>
      <c r="J664" s="2"/>
      <c r="K664" s="2"/>
      <c r="L664" s="2"/>
      <c r="M664" s="2"/>
      <c r="N664" s="2"/>
      <c r="O664" s="2"/>
      <c r="P664" s="2"/>
      <c r="Q664" s="2"/>
      <c r="R664" s="2"/>
      <c r="S664" s="2"/>
      <c r="T664" s="2"/>
      <c r="U664" s="2"/>
      <c r="V664" s="22"/>
    </row>
    <row r="665" spans="4:22" ht="13.2" x14ac:dyDescent="0.25">
      <c r="D665" s="2"/>
      <c r="E665" s="2"/>
      <c r="F665" s="2"/>
      <c r="G665" s="2"/>
      <c r="H665" s="2"/>
      <c r="I665" s="2"/>
      <c r="J665" s="2"/>
      <c r="K665" s="2"/>
      <c r="L665" s="2"/>
      <c r="M665" s="2"/>
      <c r="N665" s="2"/>
      <c r="O665" s="2"/>
      <c r="P665" s="2"/>
      <c r="Q665" s="2"/>
      <c r="R665" s="2"/>
      <c r="S665" s="2"/>
      <c r="T665" s="2"/>
      <c r="U665" s="2"/>
      <c r="V665" s="22"/>
    </row>
    <row r="666" spans="4:22" ht="13.2" x14ac:dyDescent="0.25">
      <c r="D666" s="2"/>
      <c r="E666" s="2"/>
      <c r="F666" s="2"/>
      <c r="G666" s="2"/>
      <c r="H666" s="2"/>
      <c r="I666" s="2"/>
      <c r="J666" s="2"/>
      <c r="K666" s="2"/>
      <c r="L666" s="2"/>
      <c r="M666" s="2"/>
      <c r="N666" s="2"/>
      <c r="O666" s="2"/>
      <c r="P666" s="2"/>
      <c r="Q666" s="2"/>
      <c r="R666" s="2"/>
      <c r="S666" s="2"/>
      <c r="T666" s="2"/>
      <c r="U666" s="2"/>
      <c r="V666" s="22"/>
    </row>
    <row r="667" spans="4:22" ht="13.2" x14ac:dyDescent="0.25">
      <c r="D667" s="2"/>
      <c r="E667" s="2"/>
      <c r="F667" s="2"/>
      <c r="G667" s="2"/>
      <c r="H667" s="2"/>
      <c r="I667" s="2"/>
      <c r="J667" s="2"/>
      <c r="K667" s="2"/>
      <c r="L667" s="2"/>
      <c r="M667" s="2"/>
      <c r="N667" s="2"/>
      <c r="O667" s="2"/>
      <c r="P667" s="2"/>
      <c r="Q667" s="2"/>
      <c r="R667" s="2"/>
      <c r="S667" s="2"/>
      <c r="T667" s="2"/>
      <c r="U667" s="2"/>
      <c r="V667" s="22"/>
    </row>
    <row r="668" spans="4:22" ht="13.2" x14ac:dyDescent="0.25">
      <c r="D668" s="2"/>
      <c r="E668" s="2"/>
      <c r="F668" s="2"/>
      <c r="G668" s="2"/>
      <c r="H668" s="2"/>
      <c r="I668" s="2"/>
      <c r="J668" s="2"/>
      <c r="K668" s="2"/>
      <c r="L668" s="2"/>
      <c r="M668" s="2"/>
      <c r="N668" s="2"/>
      <c r="O668" s="2"/>
      <c r="P668" s="2"/>
      <c r="Q668" s="2"/>
      <c r="R668" s="2"/>
      <c r="S668" s="2"/>
      <c r="T668" s="2"/>
      <c r="U668" s="2"/>
      <c r="V668" s="22"/>
    </row>
    <row r="669" spans="4:22" ht="13.2" x14ac:dyDescent="0.25">
      <c r="D669" s="2"/>
      <c r="E669" s="2"/>
      <c r="F669" s="2"/>
      <c r="G669" s="2"/>
      <c r="H669" s="2"/>
      <c r="I669" s="2"/>
      <c r="J669" s="2"/>
      <c r="K669" s="2"/>
      <c r="L669" s="2"/>
      <c r="M669" s="2"/>
      <c r="N669" s="2"/>
      <c r="O669" s="2"/>
      <c r="P669" s="2"/>
      <c r="Q669" s="2"/>
      <c r="R669" s="2"/>
      <c r="S669" s="2"/>
      <c r="T669" s="2"/>
      <c r="U669" s="2"/>
      <c r="V669" s="22"/>
    </row>
    <row r="670" spans="4:22" ht="13.2" x14ac:dyDescent="0.25">
      <c r="D670" s="2"/>
      <c r="E670" s="2"/>
      <c r="F670" s="2"/>
      <c r="G670" s="2"/>
      <c r="H670" s="2"/>
      <c r="I670" s="2"/>
      <c r="J670" s="2"/>
      <c r="K670" s="2"/>
      <c r="L670" s="2"/>
      <c r="M670" s="2"/>
      <c r="N670" s="2"/>
      <c r="O670" s="2"/>
      <c r="P670" s="2"/>
      <c r="Q670" s="2"/>
      <c r="R670" s="2"/>
      <c r="S670" s="2"/>
      <c r="T670" s="2"/>
      <c r="U670" s="2"/>
      <c r="V670" s="22"/>
    </row>
    <row r="671" spans="4:22" ht="13.2" x14ac:dyDescent="0.25">
      <c r="D671" s="2"/>
      <c r="E671" s="2"/>
      <c r="F671" s="2"/>
      <c r="G671" s="2"/>
      <c r="H671" s="2"/>
      <c r="I671" s="2"/>
      <c r="J671" s="2"/>
      <c r="K671" s="2"/>
      <c r="L671" s="2"/>
      <c r="M671" s="2"/>
      <c r="N671" s="2"/>
      <c r="O671" s="2"/>
      <c r="P671" s="2"/>
      <c r="Q671" s="2"/>
      <c r="R671" s="2"/>
      <c r="S671" s="2"/>
      <c r="T671" s="2"/>
      <c r="U671" s="2"/>
      <c r="V671" s="22"/>
    </row>
    <row r="672" spans="4:22" ht="13.2" x14ac:dyDescent="0.25">
      <c r="D672" s="2"/>
      <c r="E672" s="2"/>
      <c r="F672" s="2"/>
      <c r="G672" s="2"/>
      <c r="H672" s="2"/>
      <c r="I672" s="2"/>
      <c r="J672" s="2"/>
      <c r="K672" s="2"/>
      <c r="L672" s="2"/>
      <c r="M672" s="2"/>
      <c r="N672" s="2"/>
      <c r="O672" s="2"/>
      <c r="P672" s="2"/>
      <c r="Q672" s="2"/>
      <c r="R672" s="2"/>
      <c r="S672" s="2"/>
      <c r="T672" s="2"/>
      <c r="U672" s="2"/>
      <c r="V672" s="22"/>
    </row>
    <row r="673" spans="4:22" ht="13.2" x14ac:dyDescent="0.25">
      <c r="D673" s="2"/>
      <c r="E673" s="2"/>
      <c r="F673" s="2"/>
      <c r="G673" s="2"/>
      <c r="H673" s="2"/>
      <c r="I673" s="2"/>
      <c r="J673" s="2"/>
      <c r="K673" s="2"/>
      <c r="L673" s="2"/>
      <c r="M673" s="2"/>
      <c r="N673" s="2"/>
      <c r="O673" s="2"/>
      <c r="P673" s="2"/>
      <c r="Q673" s="2"/>
      <c r="R673" s="2"/>
      <c r="S673" s="2"/>
      <c r="T673" s="2"/>
      <c r="U673" s="2"/>
      <c r="V673" s="22"/>
    </row>
    <row r="674" spans="4:22" ht="13.2" x14ac:dyDescent="0.25">
      <c r="D674" s="2"/>
      <c r="E674" s="2"/>
      <c r="F674" s="2"/>
      <c r="G674" s="2"/>
      <c r="H674" s="2"/>
      <c r="I674" s="2"/>
      <c r="J674" s="2"/>
      <c r="K674" s="2"/>
      <c r="L674" s="2"/>
      <c r="M674" s="2"/>
      <c r="N674" s="2"/>
      <c r="O674" s="2"/>
      <c r="P674" s="2"/>
      <c r="Q674" s="2"/>
      <c r="R674" s="2"/>
      <c r="S674" s="2"/>
      <c r="T674" s="2"/>
      <c r="U674" s="2"/>
      <c r="V674" s="22"/>
    </row>
    <row r="675" spans="4:22" ht="13.2" x14ac:dyDescent="0.25">
      <c r="D675" s="2"/>
      <c r="E675" s="2"/>
      <c r="F675" s="2"/>
      <c r="G675" s="2"/>
      <c r="H675" s="2"/>
      <c r="I675" s="2"/>
      <c r="J675" s="2"/>
      <c r="K675" s="2"/>
      <c r="L675" s="2"/>
      <c r="M675" s="2"/>
      <c r="N675" s="2"/>
      <c r="O675" s="2"/>
      <c r="P675" s="2"/>
      <c r="Q675" s="2"/>
      <c r="R675" s="2"/>
      <c r="S675" s="2"/>
      <c r="T675" s="2"/>
      <c r="U675" s="2"/>
      <c r="V675" s="22"/>
    </row>
    <row r="676" spans="4:22" ht="13.2" x14ac:dyDescent="0.25">
      <c r="D676" s="2"/>
      <c r="E676" s="2"/>
      <c r="F676" s="2"/>
      <c r="G676" s="2"/>
      <c r="H676" s="2"/>
      <c r="I676" s="2"/>
      <c r="J676" s="2"/>
      <c r="K676" s="2"/>
      <c r="L676" s="2"/>
      <c r="M676" s="2"/>
      <c r="N676" s="2"/>
      <c r="O676" s="2"/>
      <c r="P676" s="2"/>
      <c r="Q676" s="2"/>
      <c r="R676" s="2"/>
      <c r="S676" s="2"/>
      <c r="T676" s="2"/>
      <c r="U676" s="2"/>
      <c r="V676" s="22"/>
    </row>
    <row r="677" spans="4:22" ht="13.2" x14ac:dyDescent="0.25">
      <c r="D677" s="2"/>
      <c r="E677" s="2"/>
      <c r="F677" s="2"/>
      <c r="G677" s="2"/>
      <c r="H677" s="2"/>
      <c r="I677" s="2"/>
      <c r="J677" s="2"/>
      <c r="K677" s="2"/>
      <c r="L677" s="2"/>
      <c r="M677" s="2"/>
      <c r="N677" s="2"/>
      <c r="O677" s="2"/>
      <c r="P677" s="2"/>
      <c r="Q677" s="2"/>
      <c r="R677" s="2"/>
      <c r="S677" s="2"/>
      <c r="T677" s="2"/>
      <c r="U677" s="2"/>
      <c r="V677" s="22"/>
    </row>
    <row r="678" spans="4:22" ht="13.2" x14ac:dyDescent="0.25">
      <c r="D678" s="2"/>
      <c r="E678" s="2"/>
      <c r="F678" s="2"/>
      <c r="G678" s="2"/>
      <c r="H678" s="2"/>
      <c r="I678" s="2"/>
      <c r="J678" s="2"/>
      <c r="K678" s="2"/>
      <c r="L678" s="2"/>
      <c r="M678" s="2"/>
      <c r="N678" s="2"/>
      <c r="O678" s="2"/>
      <c r="P678" s="2"/>
      <c r="Q678" s="2"/>
      <c r="R678" s="2"/>
      <c r="S678" s="2"/>
      <c r="T678" s="2"/>
      <c r="U678" s="2"/>
      <c r="V678" s="22"/>
    </row>
    <row r="679" spans="4:22" ht="13.2" x14ac:dyDescent="0.25">
      <c r="D679" s="2"/>
      <c r="E679" s="2"/>
      <c r="F679" s="2"/>
      <c r="G679" s="2"/>
      <c r="H679" s="2"/>
      <c r="I679" s="2"/>
      <c r="J679" s="2"/>
      <c r="K679" s="2"/>
      <c r="L679" s="2"/>
      <c r="M679" s="2"/>
      <c r="N679" s="2"/>
      <c r="O679" s="2"/>
      <c r="P679" s="2"/>
      <c r="Q679" s="2"/>
      <c r="R679" s="2"/>
      <c r="S679" s="2"/>
      <c r="T679" s="2"/>
      <c r="U679" s="2"/>
      <c r="V679" s="22"/>
    </row>
    <row r="680" spans="4:22" ht="13.2" x14ac:dyDescent="0.25">
      <c r="D680" s="2"/>
      <c r="E680" s="2"/>
      <c r="F680" s="2"/>
      <c r="G680" s="2"/>
      <c r="H680" s="2"/>
      <c r="I680" s="2"/>
      <c r="J680" s="2"/>
      <c r="K680" s="2"/>
      <c r="L680" s="2"/>
      <c r="M680" s="2"/>
      <c r="N680" s="2"/>
      <c r="O680" s="2"/>
      <c r="P680" s="2"/>
      <c r="Q680" s="2"/>
      <c r="R680" s="2"/>
      <c r="S680" s="2"/>
      <c r="T680" s="2"/>
      <c r="U680" s="2"/>
      <c r="V680" s="22"/>
    </row>
    <row r="681" spans="4:22" ht="13.2" x14ac:dyDescent="0.25">
      <c r="D681" s="2"/>
      <c r="E681" s="2"/>
      <c r="F681" s="2"/>
      <c r="G681" s="2"/>
      <c r="H681" s="2"/>
      <c r="I681" s="2"/>
      <c r="J681" s="2"/>
      <c r="K681" s="2"/>
      <c r="L681" s="2"/>
      <c r="M681" s="2"/>
      <c r="N681" s="2"/>
      <c r="O681" s="2"/>
      <c r="P681" s="2"/>
      <c r="Q681" s="2"/>
      <c r="R681" s="2"/>
      <c r="S681" s="2"/>
      <c r="T681" s="2"/>
      <c r="U681" s="2"/>
      <c r="V681" s="22"/>
    </row>
    <row r="682" spans="4:22" ht="13.2" x14ac:dyDescent="0.25">
      <c r="D682" s="2"/>
      <c r="E682" s="2"/>
      <c r="F682" s="2"/>
      <c r="G682" s="2"/>
      <c r="H682" s="2"/>
      <c r="I682" s="2"/>
      <c r="J682" s="2"/>
      <c r="K682" s="2"/>
      <c r="L682" s="2"/>
      <c r="M682" s="2"/>
      <c r="N682" s="2"/>
      <c r="O682" s="2"/>
      <c r="P682" s="2"/>
      <c r="Q682" s="2"/>
      <c r="R682" s="2"/>
      <c r="S682" s="2"/>
      <c r="T682" s="2"/>
      <c r="U682" s="2"/>
      <c r="V682" s="22"/>
    </row>
    <row r="683" spans="4:22" ht="13.2" x14ac:dyDescent="0.25">
      <c r="D683" s="2"/>
      <c r="E683" s="2"/>
      <c r="F683" s="2"/>
      <c r="G683" s="2"/>
      <c r="H683" s="2"/>
      <c r="I683" s="2"/>
      <c r="J683" s="2"/>
      <c r="K683" s="2"/>
      <c r="L683" s="2"/>
      <c r="M683" s="2"/>
      <c r="N683" s="2"/>
      <c r="O683" s="2"/>
      <c r="P683" s="2"/>
      <c r="Q683" s="2"/>
      <c r="R683" s="2"/>
      <c r="S683" s="2"/>
      <c r="T683" s="2"/>
      <c r="U683" s="2"/>
      <c r="V683" s="22"/>
    </row>
    <row r="684" spans="4:22" ht="13.2" x14ac:dyDescent="0.25">
      <c r="D684" s="2"/>
      <c r="E684" s="2"/>
      <c r="F684" s="2"/>
      <c r="G684" s="2"/>
      <c r="H684" s="2"/>
      <c r="I684" s="2"/>
      <c r="J684" s="2"/>
      <c r="K684" s="2"/>
      <c r="L684" s="2"/>
      <c r="M684" s="2"/>
      <c r="N684" s="2"/>
      <c r="O684" s="2"/>
      <c r="P684" s="2"/>
      <c r="Q684" s="2"/>
      <c r="R684" s="2"/>
      <c r="S684" s="2"/>
      <c r="T684" s="2"/>
      <c r="U684" s="2"/>
      <c r="V684" s="22"/>
    </row>
    <row r="685" spans="4:22" ht="13.2" x14ac:dyDescent="0.25">
      <c r="D685" s="2"/>
      <c r="E685" s="2"/>
      <c r="F685" s="2"/>
      <c r="G685" s="2"/>
      <c r="H685" s="2"/>
      <c r="I685" s="2"/>
      <c r="J685" s="2"/>
      <c r="K685" s="2"/>
      <c r="L685" s="2"/>
      <c r="M685" s="2"/>
      <c r="N685" s="2"/>
      <c r="O685" s="2"/>
      <c r="P685" s="2"/>
      <c r="Q685" s="2"/>
      <c r="R685" s="2"/>
      <c r="S685" s="2"/>
      <c r="T685" s="2"/>
      <c r="U685" s="2"/>
      <c r="V685" s="22"/>
    </row>
    <row r="686" spans="4:22" ht="13.2" x14ac:dyDescent="0.25">
      <c r="D686" s="2"/>
      <c r="E686" s="2"/>
      <c r="F686" s="2"/>
      <c r="G686" s="2"/>
      <c r="H686" s="2"/>
      <c r="I686" s="2"/>
      <c r="J686" s="2"/>
      <c r="K686" s="2"/>
      <c r="L686" s="2"/>
      <c r="M686" s="2"/>
      <c r="N686" s="2"/>
      <c r="O686" s="2"/>
      <c r="P686" s="2"/>
      <c r="Q686" s="2"/>
      <c r="R686" s="2"/>
      <c r="S686" s="2"/>
      <c r="T686" s="2"/>
      <c r="U686" s="2"/>
      <c r="V686" s="22"/>
    </row>
    <row r="687" spans="4:22" ht="13.2" x14ac:dyDescent="0.25">
      <c r="D687" s="2"/>
      <c r="E687" s="2"/>
      <c r="F687" s="2"/>
      <c r="G687" s="2"/>
      <c r="H687" s="2"/>
      <c r="I687" s="2"/>
      <c r="J687" s="2"/>
      <c r="K687" s="2"/>
      <c r="L687" s="2"/>
      <c r="M687" s="2"/>
      <c r="N687" s="2"/>
      <c r="O687" s="2"/>
      <c r="P687" s="2"/>
      <c r="Q687" s="2"/>
      <c r="R687" s="2"/>
      <c r="S687" s="2"/>
      <c r="T687" s="2"/>
      <c r="U687" s="2"/>
      <c r="V687" s="22"/>
    </row>
    <row r="688" spans="4:22" ht="13.2" x14ac:dyDescent="0.25">
      <c r="D688" s="2"/>
      <c r="E688" s="2"/>
      <c r="F688" s="2"/>
      <c r="G688" s="2"/>
      <c r="H688" s="2"/>
      <c r="I688" s="2"/>
      <c r="J688" s="2"/>
      <c r="K688" s="2"/>
      <c r="L688" s="2"/>
      <c r="M688" s="2"/>
      <c r="N688" s="2"/>
      <c r="O688" s="2"/>
      <c r="P688" s="2"/>
      <c r="Q688" s="2"/>
      <c r="R688" s="2"/>
      <c r="S688" s="2"/>
      <c r="T688" s="2"/>
      <c r="U688" s="2"/>
      <c r="V688" s="22"/>
    </row>
    <row r="689" spans="4:22" ht="13.2" x14ac:dyDescent="0.25">
      <c r="D689" s="2"/>
      <c r="E689" s="2"/>
      <c r="F689" s="2"/>
      <c r="G689" s="2"/>
      <c r="H689" s="2"/>
      <c r="I689" s="2"/>
      <c r="J689" s="2"/>
      <c r="K689" s="2"/>
      <c r="L689" s="2"/>
      <c r="M689" s="2"/>
      <c r="N689" s="2"/>
      <c r="O689" s="2"/>
      <c r="P689" s="2"/>
      <c r="Q689" s="2"/>
      <c r="R689" s="2"/>
      <c r="S689" s="2"/>
      <c r="T689" s="2"/>
      <c r="U689" s="2"/>
      <c r="V689" s="22"/>
    </row>
    <row r="690" spans="4:22" ht="13.2" x14ac:dyDescent="0.25">
      <c r="D690" s="2"/>
      <c r="E690" s="2"/>
      <c r="F690" s="2"/>
      <c r="G690" s="2"/>
      <c r="H690" s="2"/>
      <c r="I690" s="2"/>
      <c r="J690" s="2"/>
      <c r="K690" s="2"/>
      <c r="L690" s="2"/>
      <c r="M690" s="2"/>
      <c r="N690" s="2"/>
      <c r="O690" s="2"/>
      <c r="P690" s="2"/>
      <c r="Q690" s="2"/>
      <c r="R690" s="2"/>
      <c r="S690" s="2"/>
      <c r="T690" s="2"/>
      <c r="U690" s="2"/>
      <c r="V690" s="22"/>
    </row>
    <row r="691" spans="4:22" ht="13.2" x14ac:dyDescent="0.25">
      <c r="D691" s="2"/>
      <c r="E691" s="2"/>
      <c r="F691" s="2"/>
      <c r="G691" s="2"/>
      <c r="H691" s="2"/>
      <c r="I691" s="2"/>
      <c r="J691" s="2"/>
      <c r="K691" s="2"/>
      <c r="L691" s="2"/>
      <c r="M691" s="2"/>
      <c r="N691" s="2"/>
      <c r="O691" s="2"/>
      <c r="P691" s="2"/>
      <c r="Q691" s="2"/>
      <c r="R691" s="2"/>
      <c r="S691" s="2"/>
      <c r="T691" s="2"/>
      <c r="U691" s="2"/>
      <c r="V691" s="22"/>
    </row>
    <row r="692" spans="4:22" ht="13.2" x14ac:dyDescent="0.25">
      <c r="D692" s="2"/>
      <c r="E692" s="2"/>
      <c r="F692" s="2"/>
      <c r="G692" s="2"/>
      <c r="H692" s="2"/>
      <c r="I692" s="2"/>
      <c r="J692" s="2"/>
      <c r="K692" s="2"/>
      <c r="L692" s="2"/>
      <c r="M692" s="2"/>
      <c r="N692" s="2"/>
      <c r="O692" s="2"/>
      <c r="P692" s="2"/>
      <c r="Q692" s="2"/>
      <c r="R692" s="2"/>
      <c r="S692" s="2"/>
      <c r="T692" s="2"/>
      <c r="U692" s="2"/>
      <c r="V692" s="22"/>
    </row>
    <row r="693" spans="4:22" ht="13.2" x14ac:dyDescent="0.25">
      <c r="D693" s="2"/>
      <c r="E693" s="2"/>
      <c r="F693" s="2"/>
      <c r="G693" s="2"/>
      <c r="H693" s="2"/>
      <c r="I693" s="2"/>
      <c r="J693" s="2"/>
      <c r="K693" s="2"/>
      <c r="L693" s="2"/>
      <c r="M693" s="2"/>
      <c r="N693" s="2"/>
      <c r="O693" s="2"/>
      <c r="P693" s="2"/>
      <c r="Q693" s="2"/>
      <c r="R693" s="2"/>
      <c r="S693" s="2"/>
      <c r="T693" s="2"/>
      <c r="U693" s="2"/>
      <c r="V693" s="22"/>
    </row>
    <row r="694" spans="4:22" ht="13.2" x14ac:dyDescent="0.25">
      <c r="D694" s="2"/>
      <c r="E694" s="2"/>
      <c r="F694" s="2"/>
      <c r="G694" s="2"/>
      <c r="H694" s="2"/>
      <c r="I694" s="2"/>
      <c r="J694" s="2"/>
      <c r="K694" s="2"/>
      <c r="L694" s="2"/>
      <c r="M694" s="2"/>
      <c r="N694" s="2"/>
      <c r="O694" s="2"/>
      <c r="P694" s="2"/>
      <c r="Q694" s="2"/>
      <c r="R694" s="2"/>
      <c r="S694" s="2"/>
      <c r="T694" s="2"/>
      <c r="U694" s="2"/>
      <c r="V694" s="22"/>
    </row>
    <row r="695" spans="4:22" ht="13.2" x14ac:dyDescent="0.25">
      <c r="D695" s="2"/>
      <c r="E695" s="2"/>
      <c r="F695" s="2"/>
      <c r="G695" s="2"/>
      <c r="H695" s="2"/>
      <c r="I695" s="2"/>
      <c r="J695" s="2"/>
      <c r="K695" s="2"/>
      <c r="L695" s="2"/>
      <c r="M695" s="2"/>
      <c r="N695" s="2"/>
      <c r="O695" s="2"/>
      <c r="P695" s="2"/>
      <c r="Q695" s="2"/>
      <c r="R695" s="2"/>
      <c r="S695" s="2"/>
      <c r="T695" s="2"/>
      <c r="U695" s="2"/>
      <c r="V695" s="22"/>
    </row>
    <row r="696" spans="4:22" ht="13.2" x14ac:dyDescent="0.25">
      <c r="D696" s="2"/>
      <c r="E696" s="2"/>
      <c r="F696" s="2"/>
      <c r="G696" s="2"/>
      <c r="H696" s="2"/>
      <c r="I696" s="2"/>
      <c r="J696" s="2"/>
      <c r="K696" s="2"/>
      <c r="L696" s="2"/>
      <c r="M696" s="2"/>
      <c r="N696" s="2"/>
      <c r="O696" s="2"/>
      <c r="P696" s="2"/>
      <c r="Q696" s="2"/>
      <c r="R696" s="2"/>
      <c r="S696" s="2"/>
      <c r="T696" s="2"/>
      <c r="U696" s="2"/>
      <c r="V696" s="22"/>
    </row>
    <row r="697" spans="4:22" ht="13.2" x14ac:dyDescent="0.25">
      <c r="D697" s="2"/>
      <c r="E697" s="2"/>
      <c r="F697" s="2"/>
      <c r="G697" s="2"/>
      <c r="H697" s="2"/>
      <c r="I697" s="2"/>
      <c r="J697" s="2"/>
      <c r="K697" s="2"/>
      <c r="L697" s="2"/>
      <c r="M697" s="2"/>
      <c r="N697" s="2"/>
      <c r="O697" s="2"/>
      <c r="P697" s="2"/>
      <c r="Q697" s="2"/>
      <c r="R697" s="2"/>
      <c r="S697" s="2"/>
      <c r="T697" s="2"/>
      <c r="U697" s="2"/>
      <c r="V697" s="22"/>
    </row>
    <row r="698" spans="4:22" ht="13.2" x14ac:dyDescent="0.25">
      <c r="D698" s="2"/>
      <c r="E698" s="2"/>
      <c r="F698" s="2"/>
      <c r="G698" s="2"/>
      <c r="H698" s="2"/>
      <c r="I698" s="2"/>
      <c r="J698" s="2"/>
      <c r="K698" s="2"/>
      <c r="L698" s="2"/>
      <c r="M698" s="2"/>
      <c r="N698" s="2"/>
      <c r="O698" s="2"/>
      <c r="P698" s="2"/>
      <c r="Q698" s="2"/>
      <c r="R698" s="2"/>
      <c r="S698" s="2"/>
      <c r="T698" s="2"/>
      <c r="U698" s="2"/>
      <c r="V698" s="22"/>
    </row>
    <row r="699" spans="4:22" ht="13.2" x14ac:dyDescent="0.25">
      <c r="D699" s="2"/>
      <c r="E699" s="2"/>
      <c r="F699" s="2"/>
      <c r="G699" s="2"/>
      <c r="H699" s="2"/>
      <c r="I699" s="2"/>
      <c r="J699" s="2"/>
      <c r="K699" s="2"/>
      <c r="L699" s="2"/>
      <c r="M699" s="2"/>
      <c r="N699" s="2"/>
      <c r="O699" s="2"/>
      <c r="P699" s="2"/>
      <c r="Q699" s="2"/>
      <c r="R699" s="2"/>
      <c r="S699" s="2"/>
      <c r="T699" s="2"/>
      <c r="U699" s="2"/>
      <c r="V699" s="22"/>
    </row>
    <row r="700" spans="4:22" ht="13.2" x14ac:dyDescent="0.25">
      <c r="D700" s="2"/>
      <c r="E700" s="2"/>
      <c r="F700" s="2"/>
      <c r="G700" s="2"/>
      <c r="H700" s="2"/>
      <c r="I700" s="2"/>
      <c r="J700" s="2"/>
      <c r="K700" s="2"/>
      <c r="L700" s="2"/>
      <c r="M700" s="2"/>
      <c r="N700" s="2"/>
      <c r="O700" s="2"/>
      <c r="P700" s="2"/>
      <c r="Q700" s="2"/>
      <c r="R700" s="2"/>
      <c r="S700" s="2"/>
      <c r="T700" s="2"/>
      <c r="U700" s="2"/>
      <c r="V700" s="22"/>
    </row>
    <row r="701" spans="4:22" ht="13.2" x14ac:dyDescent="0.25">
      <c r="D701" s="2"/>
      <c r="E701" s="2"/>
      <c r="F701" s="2"/>
      <c r="G701" s="2"/>
      <c r="H701" s="2"/>
      <c r="I701" s="2"/>
      <c r="J701" s="2"/>
      <c r="K701" s="2"/>
      <c r="L701" s="2"/>
      <c r="M701" s="2"/>
      <c r="N701" s="2"/>
      <c r="O701" s="2"/>
      <c r="P701" s="2"/>
      <c r="Q701" s="2"/>
      <c r="R701" s="2"/>
      <c r="S701" s="2"/>
      <c r="T701" s="2"/>
      <c r="U701" s="2"/>
      <c r="V701" s="22"/>
    </row>
    <row r="702" spans="4:22" ht="13.2" x14ac:dyDescent="0.25">
      <c r="D702" s="2"/>
      <c r="E702" s="2"/>
      <c r="F702" s="2"/>
      <c r="G702" s="2"/>
      <c r="H702" s="2"/>
      <c r="I702" s="2"/>
      <c r="J702" s="2"/>
      <c r="K702" s="2"/>
      <c r="L702" s="2"/>
      <c r="M702" s="2"/>
      <c r="N702" s="2"/>
      <c r="O702" s="2"/>
      <c r="P702" s="2"/>
      <c r="Q702" s="2"/>
      <c r="R702" s="2"/>
      <c r="S702" s="2"/>
      <c r="T702" s="2"/>
      <c r="U702" s="2"/>
      <c r="V702" s="22"/>
    </row>
    <row r="703" spans="4:22" ht="13.2" x14ac:dyDescent="0.25">
      <c r="D703" s="2"/>
      <c r="E703" s="2"/>
      <c r="F703" s="2"/>
      <c r="G703" s="2"/>
      <c r="H703" s="2"/>
      <c r="I703" s="2"/>
      <c r="J703" s="2"/>
      <c r="K703" s="2"/>
      <c r="L703" s="2"/>
      <c r="M703" s="2"/>
      <c r="N703" s="2"/>
      <c r="O703" s="2"/>
      <c r="P703" s="2"/>
      <c r="Q703" s="2"/>
      <c r="R703" s="2"/>
      <c r="S703" s="2"/>
      <c r="T703" s="2"/>
      <c r="U703" s="2"/>
      <c r="V703" s="22"/>
    </row>
    <row r="704" spans="4:22" ht="13.2" x14ac:dyDescent="0.25">
      <c r="D704" s="2"/>
      <c r="E704" s="2"/>
      <c r="F704" s="2"/>
      <c r="G704" s="2"/>
      <c r="H704" s="2"/>
      <c r="I704" s="2"/>
      <c r="J704" s="2"/>
      <c r="K704" s="2"/>
      <c r="L704" s="2"/>
      <c r="M704" s="2"/>
      <c r="N704" s="2"/>
      <c r="O704" s="2"/>
      <c r="P704" s="2"/>
      <c r="Q704" s="2"/>
      <c r="R704" s="2"/>
      <c r="S704" s="2"/>
      <c r="T704" s="2"/>
      <c r="U704" s="2"/>
      <c r="V704" s="22"/>
    </row>
    <row r="705" spans="4:22" ht="13.2" x14ac:dyDescent="0.25">
      <c r="D705" s="2"/>
      <c r="E705" s="2"/>
      <c r="F705" s="2"/>
      <c r="G705" s="2"/>
      <c r="H705" s="2"/>
      <c r="I705" s="2"/>
      <c r="J705" s="2"/>
      <c r="K705" s="2"/>
      <c r="L705" s="2"/>
      <c r="M705" s="2"/>
      <c r="N705" s="2"/>
      <c r="O705" s="2"/>
      <c r="P705" s="2"/>
      <c r="Q705" s="2"/>
      <c r="R705" s="2"/>
      <c r="S705" s="2"/>
      <c r="T705" s="2"/>
      <c r="U705" s="2"/>
      <c r="V705" s="22"/>
    </row>
    <row r="706" spans="4:22" ht="13.2" x14ac:dyDescent="0.25">
      <c r="D706" s="2"/>
      <c r="E706" s="2"/>
      <c r="F706" s="2"/>
      <c r="G706" s="2"/>
      <c r="H706" s="2"/>
      <c r="I706" s="2"/>
      <c r="J706" s="2"/>
      <c r="K706" s="2"/>
      <c r="L706" s="2"/>
      <c r="M706" s="2"/>
      <c r="N706" s="2"/>
      <c r="O706" s="2"/>
      <c r="P706" s="2"/>
      <c r="Q706" s="2"/>
      <c r="R706" s="2"/>
      <c r="S706" s="2"/>
      <c r="T706" s="2"/>
      <c r="U706" s="2"/>
      <c r="V706" s="22"/>
    </row>
    <row r="707" spans="4:22" ht="13.2" x14ac:dyDescent="0.25">
      <c r="D707" s="2"/>
      <c r="E707" s="2"/>
      <c r="F707" s="2"/>
      <c r="G707" s="2"/>
      <c r="H707" s="2"/>
      <c r="I707" s="2"/>
      <c r="J707" s="2"/>
      <c r="K707" s="2"/>
      <c r="L707" s="2"/>
      <c r="M707" s="2"/>
      <c r="N707" s="2"/>
      <c r="O707" s="2"/>
      <c r="P707" s="2"/>
      <c r="Q707" s="2"/>
      <c r="R707" s="2"/>
      <c r="S707" s="2"/>
      <c r="T707" s="2"/>
      <c r="U707" s="2"/>
      <c r="V707" s="22"/>
    </row>
    <row r="708" spans="4:22" ht="13.2" x14ac:dyDescent="0.25">
      <c r="D708" s="2"/>
      <c r="E708" s="2"/>
      <c r="F708" s="2"/>
      <c r="G708" s="2"/>
      <c r="H708" s="2"/>
      <c r="I708" s="2"/>
      <c r="J708" s="2"/>
      <c r="K708" s="2"/>
      <c r="L708" s="2"/>
      <c r="M708" s="2"/>
      <c r="N708" s="2"/>
      <c r="O708" s="2"/>
      <c r="P708" s="2"/>
      <c r="Q708" s="2"/>
      <c r="R708" s="2"/>
      <c r="S708" s="2"/>
      <c r="T708" s="2"/>
      <c r="U708" s="2"/>
      <c r="V708" s="22"/>
    </row>
    <row r="709" spans="4:22" ht="13.2" x14ac:dyDescent="0.25">
      <c r="D709" s="2"/>
      <c r="E709" s="2"/>
      <c r="F709" s="2"/>
      <c r="G709" s="2"/>
      <c r="H709" s="2"/>
      <c r="I709" s="2"/>
      <c r="J709" s="2"/>
      <c r="K709" s="2"/>
      <c r="L709" s="2"/>
      <c r="M709" s="2"/>
      <c r="N709" s="2"/>
      <c r="O709" s="2"/>
      <c r="P709" s="2"/>
      <c r="Q709" s="2"/>
      <c r="R709" s="2"/>
      <c r="S709" s="2"/>
      <c r="T709" s="2"/>
      <c r="U709" s="2"/>
      <c r="V709" s="22"/>
    </row>
    <row r="710" spans="4:22" ht="13.2" x14ac:dyDescent="0.25">
      <c r="D710" s="2"/>
      <c r="E710" s="2"/>
      <c r="F710" s="2"/>
      <c r="G710" s="2"/>
      <c r="H710" s="2"/>
      <c r="I710" s="2"/>
      <c r="J710" s="2"/>
      <c r="K710" s="2"/>
      <c r="L710" s="2"/>
      <c r="M710" s="2"/>
      <c r="N710" s="2"/>
      <c r="O710" s="2"/>
      <c r="P710" s="2"/>
      <c r="Q710" s="2"/>
      <c r="R710" s="2"/>
      <c r="S710" s="2"/>
      <c r="T710" s="2"/>
      <c r="U710" s="2"/>
      <c r="V710" s="22"/>
    </row>
    <row r="711" spans="4:22" ht="13.2" x14ac:dyDescent="0.25">
      <c r="D711" s="2"/>
      <c r="E711" s="2"/>
      <c r="F711" s="2"/>
      <c r="G711" s="2"/>
      <c r="H711" s="2"/>
      <c r="I711" s="2"/>
      <c r="J711" s="2"/>
      <c r="K711" s="2"/>
      <c r="L711" s="2"/>
      <c r="M711" s="2"/>
      <c r="N711" s="2"/>
      <c r="O711" s="2"/>
      <c r="P711" s="2"/>
      <c r="Q711" s="2"/>
      <c r="R711" s="2"/>
      <c r="S711" s="2"/>
      <c r="T711" s="2"/>
      <c r="U711" s="2"/>
      <c r="V711" s="22"/>
    </row>
    <row r="712" spans="4:22" ht="13.2" x14ac:dyDescent="0.25">
      <c r="D712" s="2"/>
      <c r="E712" s="2"/>
      <c r="F712" s="2"/>
      <c r="G712" s="2"/>
      <c r="H712" s="2"/>
      <c r="I712" s="2"/>
      <c r="J712" s="2"/>
      <c r="K712" s="2"/>
      <c r="L712" s="2"/>
      <c r="M712" s="2"/>
      <c r="N712" s="2"/>
      <c r="O712" s="2"/>
      <c r="P712" s="2"/>
      <c r="Q712" s="2"/>
      <c r="R712" s="2"/>
      <c r="S712" s="2"/>
      <c r="T712" s="2"/>
      <c r="U712" s="2"/>
      <c r="V712" s="22"/>
    </row>
    <row r="713" spans="4:22" ht="13.2" x14ac:dyDescent="0.25">
      <c r="D713" s="2"/>
      <c r="E713" s="2"/>
      <c r="F713" s="2"/>
      <c r="G713" s="2"/>
      <c r="H713" s="2"/>
      <c r="I713" s="2"/>
      <c r="J713" s="2"/>
      <c r="K713" s="2"/>
      <c r="L713" s="2"/>
      <c r="M713" s="2"/>
      <c r="N713" s="2"/>
      <c r="O713" s="2"/>
      <c r="P713" s="2"/>
      <c r="Q713" s="2"/>
      <c r="R713" s="2"/>
      <c r="S713" s="2"/>
      <c r="T713" s="2"/>
      <c r="U713" s="2"/>
      <c r="V713" s="22"/>
    </row>
    <row r="714" spans="4:22" ht="13.2" x14ac:dyDescent="0.25">
      <c r="D714" s="2"/>
      <c r="E714" s="2"/>
      <c r="F714" s="2"/>
      <c r="G714" s="2"/>
      <c r="H714" s="2"/>
      <c r="I714" s="2"/>
      <c r="J714" s="2"/>
      <c r="K714" s="2"/>
      <c r="L714" s="2"/>
      <c r="M714" s="2"/>
      <c r="N714" s="2"/>
      <c r="O714" s="2"/>
      <c r="P714" s="2"/>
      <c r="Q714" s="2"/>
      <c r="R714" s="2"/>
      <c r="S714" s="2"/>
      <c r="T714" s="2"/>
      <c r="U714" s="2"/>
      <c r="V714" s="22"/>
    </row>
    <row r="715" spans="4:22" ht="13.2" x14ac:dyDescent="0.25">
      <c r="D715" s="2"/>
      <c r="E715" s="2"/>
      <c r="F715" s="2"/>
      <c r="G715" s="2"/>
      <c r="H715" s="2"/>
      <c r="I715" s="2"/>
      <c r="J715" s="2"/>
      <c r="K715" s="2"/>
      <c r="L715" s="2"/>
      <c r="M715" s="2"/>
      <c r="N715" s="2"/>
      <c r="O715" s="2"/>
      <c r="P715" s="2"/>
      <c r="Q715" s="2"/>
      <c r="R715" s="2"/>
      <c r="S715" s="2"/>
      <c r="T715" s="2"/>
      <c r="U715" s="2"/>
      <c r="V715" s="22"/>
    </row>
    <row r="716" spans="4:22" ht="13.2" x14ac:dyDescent="0.25">
      <c r="D716" s="2"/>
      <c r="E716" s="2"/>
      <c r="F716" s="2"/>
      <c r="G716" s="2"/>
      <c r="H716" s="2"/>
      <c r="I716" s="2"/>
      <c r="J716" s="2"/>
      <c r="K716" s="2"/>
      <c r="L716" s="2"/>
      <c r="M716" s="2"/>
      <c r="N716" s="2"/>
      <c r="O716" s="2"/>
      <c r="P716" s="2"/>
      <c r="Q716" s="2"/>
      <c r="R716" s="2"/>
      <c r="S716" s="2"/>
      <c r="T716" s="2"/>
      <c r="U716" s="2"/>
      <c r="V716" s="22"/>
    </row>
    <row r="717" spans="4:22" ht="13.2" x14ac:dyDescent="0.25">
      <c r="D717" s="2"/>
      <c r="E717" s="2"/>
      <c r="F717" s="2"/>
      <c r="G717" s="2"/>
      <c r="H717" s="2"/>
      <c r="I717" s="2"/>
      <c r="J717" s="2"/>
      <c r="K717" s="2"/>
      <c r="L717" s="2"/>
      <c r="M717" s="2"/>
      <c r="N717" s="2"/>
      <c r="O717" s="2"/>
      <c r="P717" s="2"/>
      <c r="Q717" s="2"/>
      <c r="R717" s="2"/>
      <c r="S717" s="2"/>
      <c r="T717" s="2"/>
      <c r="U717" s="2"/>
      <c r="V717" s="22"/>
    </row>
    <row r="718" spans="4:22" ht="13.2" x14ac:dyDescent="0.25">
      <c r="D718" s="2"/>
      <c r="E718" s="2"/>
      <c r="F718" s="2"/>
      <c r="G718" s="2"/>
      <c r="H718" s="2"/>
      <c r="I718" s="2"/>
      <c r="J718" s="2"/>
      <c r="K718" s="2"/>
      <c r="L718" s="2"/>
      <c r="M718" s="2"/>
      <c r="N718" s="2"/>
      <c r="O718" s="2"/>
      <c r="P718" s="2"/>
      <c r="Q718" s="2"/>
      <c r="R718" s="2"/>
      <c r="S718" s="2"/>
      <c r="T718" s="2"/>
      <c r="U718" s="2"/>
      <c r="V718" s="22"/>
    </row>
    <row r="719" spans="4:22" ht="13.2" x14ac:dyDescent="0.25">
      <c r="D719" s="2"/>
      <c r="E719" s="2"/>
      <c r="F719" s="2"/>
      <c r="G719" s="2"/>
      <c r="H719" s="2"/>
      <c r="I719" s="2"/>
      <c r="J719" s="2"/>
      <c r="K719" s="2"/>
      <c r="L719" s="2"/>
      <c r="M719" s="2"/>
      <c r="N719" s="2"/>
      <c r="O719" s="2"/>
      <c r="P719" s="2"/>
      <c r="Q719" s="2"/>
      <c r="R719" s="2"/>
      <c r="S719" s="2"/>
      <c r="T719" s="2"/>
      <c r="U719" s="2"/>
      <c r="V719" s="22"/>
    </row>
    <row r="720" spans="4:22" ht="13.2" x14ac:dyDescent="0.25">
      <c r="D720" s="2"/>
      <c r="E720" s="2"/>
      <c r="F720" s="2"/>
      <c r="G720" s="2"/>
      <c r="H720" s="2"/>
      <c r="I720" s="2"/>
      <c r="J720" s="2"/>
      <c r="K720" s="2"/>
      <c r="L720" s="2"/>
      <c r="M720" s="2"/>
      <c r="N720" s="2"/>
      <c r="O720" s="2"/>
      <c r="P720" s="2"/>
      <c r="Q720" s="2"/>
      <c r="R720" s="2"/>
      <c r="S720" s="2"/>
      <c r="T720" s="2"/>
      <c r="U720" s="2"/>
      <c r="V720" s="22"/>
    </row>
    <row r="721" spans="4:22" ht="13.2" x14ac:dyDescent="0.25">
      <c r="D721" s="2"/>
      <c r="E721" s="2"/>
      <c r="F721" s="2"/>
      <c r="G721" s="2"/>
      <c r="H721" s="2"/>
      <c r="I721" s="2"/>
      <c r="J721" s="2"/>
      <c r="K721" s="2"/>
      <c r="L721" s="2"/>
      <c r="M721" s="2"/>
      <c r="N721" s="2"/>
      <c r="O721" s="2"/>
      <c r="P721" s="2"/>
      <c r="Q721" s="2"/>
      <c r="R721" s="2"/>
      <c r="S721" s="2"/>
      <c r="T721" s="2"/>
      <c r="U721" s="2"/>
      <c r="V721" s="22"/>
    </row>
    <row r="722" spans="4:22" ht="13.2" x14ac:dyDescent="0.25">
      <c r="D722" s="2"/>
      <c r="E722" s="2"/>
      <c r="F722" s="2"/>
      <c r="G722" s="2"/>
      <c r="H722" s="2"/>
      <c r="I722" s="2"/>
      <c r="J722" s="2"/>
      <c r="K722" s="2"/>
      <c r="L722" s="2"/>
      <c r="M722" s="2"/>
      <c r="N722" s="2"/>
      <c r="O722" s="2"/>
      <c r="P722" s="2"/>
      <c r="Q722" s="2"/>
      <c r="R722" s="2"/>
      <c r="S722" s="2"/>
      <c r="T722" s="2"/>
      <c r="U722" s="2"/>
      <c r="V722" s="22"/>
    </row>
    <row r="723" spans="4:22" ht="13.2" x14ac:dyDescent="0.25">
      <c r="D723" s="2"/>
      <c r="E723" s="2"/>
      <c r="F723" s="2"/>
      <c r="G723" s="2"/>
      <c r="H723" s="2"/>
      <c r="I723" s="2"/>
      <c r="J723" s="2"/>
      <c r="K723" s="2"/>
      <c r="L723" s="2"/>
      <c r="M723" s="2"/>
      <c r="N723" s="2"/>
      <c r="O723" s="2"/>
      <c r="P723" s="2"/>
      <c r="Q723" s="2"/>
      <c r="R723" s="2"/>
      <c r="S723" s="2"/>
      <c r="T723" s="2"/>
      <c r="U723" s="2"/>
      <c r="V723" s="22"/>
    </row>
    <row r="724" spans="4:22" ht="13.2" x14ac:dyDescent="0.25">
      <c r="D724" s="2"/>
      <c r="E724" s="2"/>
      <c r="F724" s="2"/>
      <c r="G724" s="2"/>
      <c r="H724" s="2"/>
      <c r="I724" s="2"/>
      <c r="J724" s="2"/>
      <c r="K724" s="2"/>
      <c r="L724" s="2"/>
      <c r="M724" s="2"/>
      <c r="N724" s="2"/>
      <c r="O724" s="2"/>
      <c r="P724" s="2"/>
      <c r="Q724" s="2"/>
      <c r="R724" s="2"/>
      <c r="S724" s="2"/>
      <c r="T724" s="2"/>
      <c r="U724" s="2"/>
      <c r="V724" s="22"/>
    </row>
    <row r="725" spans="4:22" ht="13.2" x14ac:dyDescent="0.25">
      <c r="D725" s="2"/>
      <c r="E725" s="2"/>
      <c r="F725" s="2"/>
      <c r="G725" s="2"/>
      <c r="H725" s="2"/>
      <c r="I725" s="2"/>
      <c r="J725" s="2"/>
      <c r="K725" s="2"/>
      <c r="L725" s="2"/>
      <c r="M725" s="2"/>
      <c r="N725" s="2"/>
      <c r="O725" s="2"/>
      <c r="P725" s="2"/>
      <c r="Q725" s="2"/>
      <c r="R725" s="2"/>
      <c r="S725" s="2"/>
      <c r="T725" s="2"/>
      <c r="U725" s="2"/>
      <c r="V725" s="22"/>
    </row>
    <row r="726" spans="4:22" ht="13.2" x14ac:dyDescent="0.25">
      <c r="D726" s="2"/>
      <c r="E726" s="2"/>
      <c r="F726" s="2"/>
      <c r="G726" s="2"/>
      <c r="H726" s="2"/>
      <c r="I726" s="2"/>
      <c r="J726" s="2"/>
      <c r="K726" s="2"/>
      <c r="L726" s="2"/>
      <c r="M726" s="2"/>
      <c r="N726" s="2"/>
      <c r="O726" s="2"/>
      <c r="P726" s="2"/>
      <c r="Q726" s="2"/>
      <c r="R726" s="2"/>
      <c r="S726" s="2"/>
      <c r="T726" s="2"/>
      <c r="U726" s="2"/>
      <c r="V726" s="22"/>
    </row>
    <row r="727" spans="4:22" ht="13.2" x14ac:dyDescent="0.25">
      <c r="D727" s="2"/>
      <c r="E727" s="2"/>
      <c r="F727" s="2"/>
      <c r="G727" s="2"/>
      <c r="H727" s="2"/>
      <c r="I727" s="2"/>
      <c r="J727" s="2"/>
      <c r="K727" s="2"/>
      <c r="L727" s="2"/>
      <c r="M727" s="2"/>
      <c r="N727" s="2"/>
      <c r="O727" s="2"/>
      <c r="P727" s="2"/>
      <c r="Q727" s="2"/>
      <c r="R727" s="2"/>
      <c r="S727" s="2"/>
      <c r="T727" s="2"/>
      <c r="U727" s="2"/>
      <c r="V727" s="22"/>
    </row>
    <row r="728" spans="4:22" ht="13.2" x14ac:dyDescent="0.25">
      <c r="D728" s="2"/>
      <c r="E728" s="2"/>
      <c r="F728" s="2"/>
      <c r="G728" s="2"/>
      <c r="H728" s="2"/>
      <c r="I728" s="2"/>
      <c r="J728" s="2"/>
      <c r="K728" s="2"/>
      <c r="L728" s="2"/>
      <c r="M728" s="2"/>
      <c r="N728" s="2"/>
      <c r="O728" s="2"/>
      <c r="P728" s="2"/>
      <c r="Q728" s="2"/>
      <c r="R728" s="2"/>
      <c r="S728" s="2"/>
      <c r="T728" s="2"/>
      <c r="U728" s="2"/>
      <c r="V728" s="22"/>
    </row>
    <row r="729" spans="4:22" ht="13.2" x14ac:dyDescent="0.25">
      <c r="D729" s="2"/>
      <c r="E729" s="2"/>
      <c r="F729" s="2"/>
      <c r="G729" s="2"/>
      <c r="H729" s="2"/>
      <c r="I729" s="2"/>
      <c r="J729" s="2"/>
      <c r="K729" s="2"/>
      <c r="L729" s="2"/>
      <c r="M729" s="2"/>
      <c r="N729" s="2"/>
      <c r="O729" s="2"/>
      <c r="P729" s="2"/>
      <c r="Q729" s="2"/>
      <c r="R729" s="2"/>
      <c r="S729" s="2"/>
      <c r="T729" s="2"/>
      <c r="U729" s="2"/>
      <c r="V729" s="22"/>
    </row>
    <row r="730" spans="4:22" ht="13.2" x14ac:dyDescent="0.25">
      <c r="D730" s="2"/>
      <c r="E730" s="2"/>
      <c r="F730" s="2"/>
      <c r="G730" s="2"/>
      <c r="H730" s="2"/>
      <c r="I730" s="2"/>
      <c r="J730" s="2"/>
      <c r="K730" s="2"/>
      <c r="L730" s="2"/>
      <c r="M730" s="2"/>
      <c r="N730" s="2"/>
      <c r="O730" s="2"/>
      <c r="P730" s="2"/>
      <c r="Q730" s="2"/>
      <c r="R730" s="2"/>
      <c r="S730" s="2"/>
      <c r="T730" s="2"/>
      <c r="U730" s="2"/>
      <c r="V730" s="22"/>
    </row>
    <row r="731" spans="4:22" ht="13.2" x14ac:dyDescent="0.25">
      <c r="D731" s="2"/>
      <c r="E731" s="2"/>
      <c r="F731" s="2"/>
      <c r="G731" s="2"/>
      <c r="H731" s="2"/>
      <c r="I731" s="2"/>
      <c r="J731" s="2"/>
      <c r="K731" s="2"/>
      <c r="L731" s="2"/>
      <c r="M731" s="2"/>
      <c r="N731" s="2"/>
      <c r="O731" s="2"/>
      <c r="P731" s="2"/>
      <c r="Q731" s="2"/>
      <c r="R731" s="2"/>
      <c r="S731" s="2"/>
      <c r="T731" s="2"/>
      <c r="U731" s="2"/>
      <c r="V731" s="22"/>
    </row>
    <row r="732" spans="4:22" ht="13.2" x14ac:dyDescent="0.25">
      <c r="D732" s="2"/>
      <c r="E732" s="2"/>
      <c r="F732" s="2"/>
      <c r="G732" s="2"/>
      <c r="H732" s="2"/>
      <c r="I732" s="2"/>
      <c r="J732" s="2"/>
      <c r="K732" s="2"/>
      <c r="L732" s="2"/>
      <c r="M732" s="2"/>
      <c r="N732" s="2"/>
      <c r="O732" s="2"/>
      <c r="P732" s="2"/>
      <c r="Q732" s="2"/>
      <c r="R732" s="2"/>
      <c r="S732" s="2"/>
      <c r="T732" s="2"/>
      <c r="U732" s="2"/>
      <c r="V732" s="22"/>
    </row>
    <row r="733" spans="4:22" ht="13.2" x14ac:dyDescent="0.25">
      <c r="D733" s="2"/>
      <c r="E733" s="2"/>
      <c r="F733" s="2"/>
      <c r="G733" s="2"/>
      <c r="H733" s="2"/>
      <c r="I733" s="2"/>
      <c r="J733" s="2"/>
      <c r="K733" s="2"/>
      <c r="L733" s="2"/>
      <c r="M733" s="2"/>
      <c r="N733" s="2"/>
      <c r="O733" s="2"/>
      <c r="P733" s="2"/>
      <c r="Q733" s="2"/>
      <c r="R733" s="2"/>
      <c r="S733" s="2"/>
      <c r="T733" s="2"/>
      <c r="U733" s="2"/>
      <c r="V733" s="22"/>
    </row>
    <row r="734" spans="4:22" ht="13.2" x14ac:dyDescent="0.25">
      <c r="D734" s="2"/>
      <c r="E734" s="2"/>
      <c r="F734" s="2"/>
      <c r="G734" s="2"/>
      <c r="H734" s="2"/>
      <c r="I734" s="2"/>
      <c r="J734" s="2"/>
      <c r="K734" s="2"/>
      <c r="L734" s="2"/>
      <c r="M734" s="2"/>
      <c r="N734" s="2"/>
      <c r="O734" s="2"/>
      <c r="P734" s="2"/>
      <c r="Q734" s="2"/>
      <c r="R734" s="2"/>
      <c r="S734" s="2"/>
      <c r="T734" s="2"/>
      <c r="U734" s="2"/>
      <c r="V734" s="22"/>
    </row>
    <row r="735" spans="4:22" ht="13.2" x14ac:dyDescent="0.25">
      <c r="D735" s="2"/>
      <c r="E735" s="2"/>
      <c r="F735" s="2"/>
      <c r="G735" s="2"/>
      <c r="H735" s="2"/>
      <c r="I735" s="2"/>
      <c r="J735" s="2"/>
      <c r="K735" s="2"/>
      <c r="L735" s="2"/>
      <c r="M735" s="2"/>
      <c r="N735" s="2"/>
      <c r="O735" s="2"/>
      <c r="P735" s="2"/>
      <c r="Q735" s="2"/>
      <c r="R735" s="2"/>
      <c r="S735" s="2"/>
      <c r="T735" s="2"/>
      <c r="U735" s="2"/>
      <c r="V735" s="22"/>
    </row>
    <row r="736" spans="4:22" ht="13.2" x14ac:dyDescent="0.25">
      <c r="D736" s="2"/>
      <c r="E736" s="2"/>
      <c r="F736" s="2"/>
      <c r="G736" s="2"/>
      <c r="H736" s="2"/>
      <c r="I736" s="2"/>
      <c r="J736" s="2"/>
      <c r="K736" s="2"/>
      <c r="L736" s="2"/>
      <c r="M736" s="2"/>
      <c r="N736" s="2"/>
      <c r="O736" s="2"/>
      <c r="P736" s="2"/>
      <c r="Q736" s="2"/>
      <c r="R736" s="2"/>
      <c r="S736" s="2"/>
      <c r="T736" s="2"/>
      <c r="U736" s="2"/>
      <c r="V736" s="22"/>
    </row>
    <row r="737" spans="4:22" ht="13.2" x14ac:dyDescent="0.25">
      <c r="D737" s="2"/>
      <c r="E737" s="2"/>
      <c r="F737" s="2"/>
      <c r="G737" s="2"/>
      <c r="H737" s="2"/>
      <c r="I737" s="2"/>
      <c r="J737" s="2"/>
      <c r="K737" s="2"/>
      <c r="L737" s="2"/>
      <c r="M737" s="2"/>
      <c r="N737" s="2"/>
      <c r="O737" s="2"/>
      <c r="P737" s="2"/>
      <c r="Q737" s="2"/>
      <c r="R737" s="2"/>
      <c r="S737" s="2"/>
      <c r="T737" s="2"/>
      <c r="U737" s="2"/>
      <c r="V737" s="22"/>
    </row>
    <row r="738" spans="4:22" ht="13.2" x14ac:dyDescent="0.25">
      <c r="D738" s="2"/>
      <c r="E738" s="2"/>
      <c r="F738" s="2"/>
      <c r="G738" s="2"/>
      <c r="H738" s="2"/>
      <c r="I738" s="2"/>
      <c r="J738" s="2"/>
      <c r="K738" s="2"/>
      <c r="L738" s="2"/>
      <c r="M738" s="2"/>
      <c r="N738" s="2"/>
      <c r="O738" s="2"/>
      <c r="P738" s="2"/>
      <c r="Q738" s="2"/>
      <c r="R738" s="2"/>
      <c r="S738" s="2"/>
      <c r="T738" s="2"/>
      <c r="U738" s="2"/>
      <c r="V738" s="22"/>
    </row>
    <row r="739" spans="4:22" ht="13.2" x14ac:dyDescent="0.25">
      <c r="D739" s="2"/>
      <c r="E739" s="2"/>
      <c r="F739" s="2"/>
      <c r="G739" s="2"/>
      <c r="H739" s="2"/>
      <c r="I739" s="2"/>
      <c r="J739" s="2"/>
      <c r="K739" s="2"/>
      <c r="L739" s="2"/>
      <c r="M739" s="2"/>
      <c r="N739" s="2"/>
      <c r="O739" s="2"/>
      <c r="P739" s="2"/>
      <c r="Q739" s="2"/>
      <c r="R739" s="2"/>
      <c r="S739" s="2"/>
      <c r="T739" s="2"/>
      <c r="U739" s="2"/>
      <c r="V739" s="22"/>
    </row>
    <row r="740" spans="4:22" ht="13.2" x14ac:dyDescent="0.25">
      <c r="D740" s="2"/>
      <c r="E740" s="2"/>
      <c r="F740" s="2"/>
      <c r="G740" s="2"/>
      <c r="H740" s="2"/>
      <c r="I740" s="2"/>
      <c r="J740" s="2"/>
      <c r="K740" s="2"/>
      <c r="L740" s="2"/>
      <c r="M740" s="2"/>
      <c r="N740" s="2"/>
      <c r="O740" s="2"/>
      <c r="P740" s="2"/>
      <c r="Q740" s="2"/>
      <c r="R740" s="2"/>
      <c r="S740" s="2"/>
      <c r="T740" s="2"/>
      <c r="U740" s="2"/>
      <c r="V740" s="22"/>
    </row>
    <row r="741" spans="4:22" ht="13.2" x14ac:dyDescent="0.25">
      <c r="D741" s="2"/>
      <c r="E741" s="2"/>
      <c r="F741" s="2"/>
      <c r="G741" s="2"/>
      <c r="H741" s="2"/>
      <c r="I741" s="2"/>
      <c r="J741" s="2"/>
      <c r="K741" s="2"/>
      <c r="L741" s="2"/>
      <c r="M741" s="2"/>
      <c r="N741" s="2"/>
      <c r="O741" s="2"/>
      <c r="P741" s="2"/>
      <c r="Q741" s="2"/>
      <c r="R741" s="2"/>
      <c r="S741" s="2"/>
      <c r="T741" s="2"/>
      <c r="U741" s="2"/>
      <c r="V741" s="22"/>
    </row>
    <row r="742" spans="4:22" ht="13.2" x14ac:dyDescent="0.25">
      <c r="D742" s="2"/>
      <c r="E742" s="2"/>
      <c r="F742" s="2"/>
      <c r="G742" s="2"/>
      <c r="H742" s="2"/>
      <c r="I742" s="2"/>
      <c r="J742" s="2"/>
      <c r="K742" s="2"/>
      <c r="L742" s="2"/>
      <c r="M742" s="2"/>
      <c r="N742" s="2"/>
      <c r="O742" s="2"/>
      <c r="P742" s="2"/>
      <c r="Q742" s="2"/>
      <c r="R742" s="2"/>
      <c r="S742" s="2"/>
      <c r="T742" s="2"/>
      <c r="U742" s="2"/>
      <c r="V742" s="22"/>
    </row>
    <row r="743" spans="4:22" ht="13.2" x14ac:dyDescent="0.25">
      <c r="D743" s="2"/>
      <c r="E743" s="2"/>
      <c r="F743" s="2"/>
      <c r="G743" s="2"/>
      <c r="H743" s="2"/>
      <c r="I743" s="2"/>
      <c r="J743" s="2"/>
      <c r="K743" s="2"/>
      <c r="L743" s="2"/>
      <c r="M743" s="2"/>
      <c r="N743" s="2"/>
      <c r="O743" s="2"/>
      <c r="P743" s="2"/>
      <c r="Q743" s="2"/>
      <c r="R743" s="2"/>
      <c r="S743" s="2"/>
      <c r="T743" s="2"/>
      <c r="U743" s="2"/>
      <c r="V743" s="22"/>
    </row>
    <row r="744" spans="4:22" ht="13.2" x14ac:dyDescent="0.25">
      <c r="D744" s="2"/>
      <c r="E744" s="2"/>
      <c r="F744" s="2"/>
      <c r="G744" s="2"/>
      <c r="H744" s="2"/>
      <c r="I744" s="2"/>
      <c r="J744" s="2"/>
      <c r="K744" s="2"/>
      <c r="L744" s="2"/>
      <c r="M744" s="2"/>
      <c r="N744" s="2"/>
      <c r="O744" s="2"/>
      <c r="P744" s="2"/>
      <c r="Q744" s="2"/>
      <c r="R744" s="2"/>
      <c r="S744" s="2"/>
      <c r="T744" s="2"/>
      <c r="U744" s="2"/>
      <c r="V744" s="22"/>
    </row>
    <row r="745" spans="4:22" ht="13.2" x14ac:dyDescent="0.25">
      <c r="D745" s="2"/>
      <c r="E745" s="2"/>
      <c r="F745" s="2"/>
      <c r="G745" s="2"/>
      <c r="H745" s="2"/>
      <c r="I745" s="2"/>
      <c r="J745" s="2"/>
      <c r="K745" s="2"/>
      <c r="L745" s="2"/>
      <c r="M745" s="2"/>
      <c r="N745" s="2"/>
      <c r="O745" s="2"/>
      <c r="P745" s="2"/>
      <c r="Q745" s="2"/>
      <c r="R745" s="2"/>
      <c r="S745" s="2"/>
      <c r="T745" s="2"/>
      <c r="U745" s="2"/>
      <c r="V745" s="22"/>
    </row>
    <row r="746" spans="4:22" ht="13.2" x14ac:dyDescent="0.25">
      <c r="D746" s="2"/>
      <c r="E746" s="2"/>
      <c r="F746" s="2"/>
      <c r="G746" s="2"/>
      <c r="H746" s="2"/>
      <c r="I746" s="2"/>
      <c r="J746" s="2"/>
      <c r="K746" s="2"/>
      <c r="L746" s="2"/>
      <c r="M746" s="2"/>
      <c r="N746" s="2"/>
      <c r="O746" s="2"/>
      <c r="P746" s="2"/>
      <c r="Q746" s="2"/>
      <c r="R746" s="2"/>
      <c r="S746" s="2"/>
      <c r="T746" s="2"/>
      <c r="U746" s="2"/>
      <c r="V746" s="22"/>
    </row>
    <row r="747" spans="4:22" ht="13.2" x14ac:dyDescent="0.25">
      <c r="D747" s="2"/>
      <c r="E747" s="2"/>
      <c r="F747" s="2"/>
      <c r="G747" s="2"/>
      <c r="H747" s="2"/>
      <c r="I747" s="2"/>
      <c r="J747" s="2"/>
      <c r="K747" s="2"/>
      <c r="L747" s="2"/>
      <c r="M747" s="2"/>
      <c r="N747" s="2"/>
      <c r="O747" s="2"/>
      <c r="P747" s="2"/>
      <c r="Q747" s="2"/>
      <c r="R747" s="2"/>
      <c r="S747" s="2"/>
      <c r="T747" s="2"/>
      <c r="U747" s="2"/>
      <c r="V747" s="22"/>
    </row>
    <row r="748" spans="4:22" ht="13.2" x14ac:dyDescent="0.25">
      <c r="D748" s="2"/>
      <c r="E748" s="2"/>
      <c r="F748" s="2"/>
      <c r="G748" s="2"/>
      <c r="H748" s="2"/>
      <c r="I748" s="2"/>
      <c r="J748" s="2"/>
      <c r="K748" s="2"/>
      <c r="L748" s="2"/>
      <c r="M748" s="2"/>
      <c r="N748" s="2"/>
      <c r="O748" s="2"/>
      <c r="P748" s="2"/>
      <c r="Q748" s="2"/>
      <c r="R748" s="2"/>
      <c r="S748" s="2"/>
      <c r="T748" s="2"/>
      <c r="U748" s="2"/>
      <c r="V748" s="22"/>
    </row>
    <row r="749" spans="4:22" ht="13.2" x14ac:dyDescent="0.25">
      <c r="D749" s="2"/>
      <c r="E749" s="2"/>
      <c r="F749" s="2"/>
      <c r="G749" s="2"/>
      <c r="H749" s="2"/>
      <c r="I749" s="2"/>
      <c r="J749" s="2"/>
      <c r="K749" s="2"/>
      <c r="L749" s="2"/>
      <c r="M749" s="2"/>
      <c r="N749" s="2"/>
      <c r="O749" s="2"/>
      <c r="P749" s="2"/>
      <c r="Q749" s="2"/>
      <c r="R749" s="2"/>
      <c r="S749" s="2"/>
      <c r="T749" s="2"/>
      <c r="U749" s="2"/>
      <c r="V749" s="22"/>
    </row>
    <row r="750" spans="4:22" ht="13.2" x14ac:dyDescent="0.25">
      <c r="D750" s="2"/>
      <c r="E750" s="2"/>
      <c r="F750" s="2"/>
      <c r="G750" s="2"/>
      <c r="H750" s="2"/>
      <c r="I750" s="2"/>
      <c r="J750" s="2"/>
      <c r="K750" s="2"/>
      <c r="L750" s="2"/>
      <c r="M750" s="2"/>
      <c r="N750" s="2"/>
      <c r="O750" s="2"/>
      <c r="P750" s="2"/>
      <c r="Q750" s="2"/>
      <c r="R750" s="2"/>
      <c r="S750" s="2"/>
      <c r="T750" s="2"/>
      <c r="U750" s="2"/>
      <c r="V750" s="22"/>
    </row>
    <row r="751" spans="4:22" ht="13.2" x14ac:dyDescent="0.25">
      <c r="D751" s="2"/>
      <c r="E751" s="2"/>
      <c r="F751" s="2"/>
      <c r="G751" s="2"/>
      <c r="H751" s="2"/>
      <c r="I751" s="2"/>
      <c r="J751" s="2"/>
      <c r="K751" s="2"/>
      <c r="L751" s="2"/>
      <c r="M751" s="2"/>
      <c r="N751" s="2"/>
      <c r="O751" s="2"/>
      <c r="P751" s="2"/>
      <c r="Q751" s="2"/>
      <c r="R751" s="2"/>
      <c r="S751" s="2"/>
      <c r="T751" s="2"/>
      <c r="U751" s="2"/>
      <c r="V751" s="22"/>
    </row>
    <row r="752" spans="4:22" ht="13.2" x14ac:dyDescent="0.25">
      <c r="D752" s="2"/>
      <c r="E752" s="2"/>
      <c r="F752" s="2"/>
      <c r="G752" s="2"/>
      <c r="H752" s="2"/>
      <c r="I752" s="2"/>
      <c r="J752" s="2"/>
      <c r="K752" s="2"/>
      <c r="L752" s="2"/>
      <c r="M752" s="2"/>
      <c r="N752" s="2"/>
      <c r="O752" s="2"/>
      <c r="P752" s="2"/>
      <c r="Q752" s="2"/>
      <c r="R752" s="2"/>
      <c r="S752" s="2"/>
      <c r="T752" s="2"/>
      <c r="U752" s="2"/>
      <c r="V752" s="22"/>
    </row>
    <row r="753" spans="4:22" ht="13.2" x14ac:dyDescent="0.25">
      <c r="D753" s="2"/>
      <c r="E753" s="2"/>
      <c r="F753" s="2"/>
      <c r="G753" s="2"/>
      <c r="H753" s="2"/>
      <c r="I753" s="2"/>
      <c r="J753" s="2"/>
      <c r="K753" s="2"/>
      <c r="L753" s="2"/>
      <c r="M753" s="2"/>
      <c r="N753" s="2"/>
      <c r="O753" s="2"/>
      <c r="P753" s="2"/>
      <c r="Q753" s="2"/>
      <c r="R753" s="2"/>
      <c r="S753" s="2"/>
      <c r="T753" s="2"/>
      <c r="U753" s="2"/>
      <c r="V753" s="22"/>
    </row>
    <row r="754" spans="4:22" ht="13.2" x14ac:dyDescent="0.25">
      <c r="D754" s="2"/>
      <c r="E754" s="2"/>
      <c r="F754" s="2"/>
      <c r="G754" s="2"/>
      <c r="H754" s="2"/>
      <c r="I754" s="2"/>
      <c r="J754" s="2"/>
      <c r="K754" s="2"/>
      <c r="L754" s="2"/>
      <c r="M754" s="2"/>
      <c r="N754" s="2"/>
      <c r="O754" s="2"/>
      <c r="P754" s="2"/>
      <c r="Q754" s="2"/>
      <c r="R754" s="2"/>
      <c r="S754" s="2"/>
      <c r="T754" s="2"/>
      <c r="U754" s="2"/>
      <c r="V754" s="22"/>
    </row>
    <row r="755" spans="4:22" ht="13.2" x14ac:dyDescent="0.25">
      <c r="D755" s="2"/>
      <c r="E755" s="2"/>
      <c r="F755" s="2"/>
      <c r="G755" s="2"/>
      <c r="H755" s="2"/>
      <c r="I755" s="2"/>
      <c r="J755" s="2"/>
      <c r="K755" s="2"/>
      <c r="L755" s="2"/>
      <c r="M755" s="2"/>
      <c r="N755" s="2"/>
      <c r="O755" s="2"/>
      <c r="P755" s="2"/>
      <c r="Q755" s="2"/>
      <c r="R755" s="2"/>
      <c r="S755" s="2"/>
      <c r="T755" s="2"/>
      <c r="U755" s="2"/>
      <c r="V755" s="22"/>
    </row>
    <row r="756" spans="4:22" ht="13.2" x14ac:dyDescent="0.25">
      <c r="D756" s="2"/>
      <c r="E756" s="2"/>
      <c r="F756" s="2"/>
      <c r="G756" s="2"/>
      <c r="H756" s="2"/>
      <c r="I756" s="2"/>
      <c r="J756" s="2"/>
      <c r="K756" s="2"/>
      <c r="L756" s="2"/>
      <c r="M756" s="2"/>
      <c r="N756" s="2"/>
      <c r="O756" s="2"/>
      <c r="P756" s="2"/>
      <c r="Q756" s="2"/>
      <c r="R756" s="2"/>
      <c r="S756" s="2"/>
      <c r="T756" s="2"/>
      <c r="U756" s="2"/>
      <c r="V756" s="22"/>
    </row>
    <row r="757" spans="4:22" ht="13.2" x14ac:dyDescent="0.25">
      <c r="D757" s="2"/>
      <c r="E757" s="2"/>
      <c r="F757" s="2"/>
      <c r="G757" s="2"/>
      <c r="H757" s="2"/>
      <c r="I757" s="2"/>
      <c r="J757" s="2"/>
      <c r="K757" s="2"/>
      <c r="L757" s="2"/>
      <c r="M757" s="2"/>
      <c r="N757" s="2"/>
      <c r="O757" s="2"/>
      <c r="P757" s="2"/>
      <c r="Q757" s="2"/>
      <c r="R757" s="2"/>
      <c r="S757" s="2"/>
      <c r="T757" s="2"/>
      <c r="U757" s="2"/>
      <c r="V757" s="22"/>
    </row>
    <row r="758" spans="4:22" ht="13.2" x14ac:dyDescent="0.25">
      <c r="D758" s="2"/>
      <c r="E758" s="2"/>
      <c r="F758" s="2"/>
      <c r="G758" s="2"/>
      <c r="H758" s="2"/>
      <c r="I758" s="2"/>
      <c r="J758" s="2"/>
      <c r="K758" s="2"/>
      <c r="L758" s="2"/>
      <c r="M758" s="2"/>
      <c r="N758" s="2"/>
      <c r="O758" s="2"/>
      <c r="P758" s="2"/>
      <c r="Q758" s="2"/>
      <c r="R758" s="2"/>
      <c r="S758" s="2"/>
      <c r="T758" s="2"/>
      <c r="U758" s="2"/>
      <c r="V758" s="22"/>
    </row>
    <row r="759" spans="4:22" ht="13.2" x14ac:dyDescent="0.25">
      <c r="D759" s="2"/>
      <c r="E759" s="2"/>
      <c r="F759" s="2"/>
      <c r="G759" s="2"/>
      <c r="H759" s="2"/>
      <c r="I759" s="2"/>
      <c r="J759" s="2"/>
      <c r="K759" s="2"/>
      <c r="L759" s="2"/>
      <c r="M759" s="2"/>
      <c r="N759" s="2"/>
      <c r="O759" s="2"/>
      <c r="P759" s="2"/>
      <c r="Q759" s="2"/>
      <c r="R759" s="2"/>
      <c r="S759" s="2"/>
      <c r="T759" s="2"/>
      <c r="U759" s="2"/>
      <c r="V759" s="22"/>
    </row>
    <row r="760" spans="4:22" ht="13.2" x14ac:dyDescent="0.25">
      <c r="D760" s="2"/>
      <c r="E760" s="2"/>
      <c r="F760" s="2"/>
      <c r="G760" s="2"/>
      <c r="H760" s="2"/>
      <c r="I760" s="2"/>
      <c r="J760" s="2"/>
      <c r="K760" s="2"/>
      <c r="L760" s="2"/>
      <c r="M760" s="2"/>
      <c r="N760" s="2"/>
      <c r="O760" s="2"/>
      <c r="P760" s="2"/>
      <c r="Q760" s="2"/>
      <c r="R760" s="2"/>
      <c r="S760" s="2"/>
      <c r="T760" s="2"/>
      <c r="U760" s="2"/>
      <c r="V760" s="22"/>
    </row>
    <row r="761" spans="4:22" ht="13.2" x14ac:dyDescent="0.25">
      <c r="D761" s="2"/>
      <c r="E761" s="2"/>
      <c r="F761" s="2"/>
      <c r="G761" s="2"/>
      <c r="H761" s="2"/>
      <c r="I761" s="2"/>
      <c r="J761" s="2"/>
      <c r="K761" s="2"/>
      <c r="L761" s="2"/>
      <c r="M761" s="2"/>
      <c r="N761" s="2"/>
      <c r="O761" s="2"/>
      <c r="P761" s="2"/>
      <c r="Q761" s="2"/>
      <c r="R761" s="2"/>
      <c r="S761" s="2"/>
      <c r="T761" s="2"/>
      <c r="U761" s="2"/>
      <c r="V761" s="22"/>
    </row>
    <row r="762" spans="4:22" ht="13.2" x14ac:dyDescent="0.25">
      <c r="D762" s="2"/>
      <c r="E762" s="2"/>
      <c r="F762" s="2"/>
      <c r="G762" s="2"/>
      <c r="H762" s="2"/>
      <c r="I762" s="2"/>
      <c r="J762" s="2"/>
      <c r="K762" s="2"/>
      <c r="L762" s="2"/>
      <c r="M762" s="2"/>
      <c r="N762" s="2"/>
      <c r="O762" s="2"/>
      <c r="P762" s="2"/>
      <c r="Q762" s="2"/>
      <c r="R762" s="2"/>
      <c r="S762" s="2"/>
      <c r="T762" s="2"/>
      <c r="U762" s="2"/>
      <c r="V762" s="22"/>
    </row>
    <row r="763" spans="4:22" ht="13.2" x14ac:dyDescent="0.25">
      <c r="D763" s="2"/>
      <c r="E763" s="2"/>
      <c r="F763" s="2"/>
      <c r="G763" s="2"/>
      <c r="H763" s="2"/>
      <c r="I763" s="2"/>
      <c r="J763" s="2"/>
      <c r="K763" s="2"/>
      <c r="L763" s="2"/>
      <c r="M763" s="2"/>
      <c r="N763" s="2"/>
      <c r="O763" s="2"/>
      <c r="P763" s="2"/>
      <c r="Q763" s="2"/>
      <c r="R763" s="2"/>
      <c r="S763" s="2"/>
      <c r="T763" s="2"/>
      <c r="U763" s="2"/>
      <c r="V763" s="22"/>
    </row>
    <row r="764" spans="4:22" ht="13.2" x14ac:dyDescent="0.25">
      <c r="D764" s="2"/>
      <c r="E764" s="2"/>
      <c r="F764" s="2"/>
      <c r="G764" s="2"/>
      <c r="H764" s="2"/>
      <c r="I764" s="2"/>
      <c r="J764" s="2"/>
      <c r="K764" s="2"/>
      <c r="L764" s="2"/>
      <c r="M764" s="2"/>
      <c r="N764" s="2"/>
      <c r="O764" s="2"/>
      <c r="P764" s="2"/>
      <c r="Q764" s="2"/>
      <c r="R764" s="2"/>
      <c r="S764" s="2"/>
      <c r="T764" s="2"/>
      <c r="U764" s="2"/>
      <c r="V764" s="22"/>
    </row>
    <row r="765" spans="4:22" ht="13.2" x14ac:dyDescent="0.25">
      <c r="D765" s="2"/>
      <c r="E765" s="2"/>
      <c r="F765" s="2"/>
      <c r="G765" s="2"/>
      <c r="H765" s="2"/>
      <c r="I765" s="2"/>
      <c r="J765" s="2"/>
      <c r="K765" s="2"/>
      <c r="L765" s="2"/>
      <c r="M765" s="2"/>
      <c r="N765" s="2"/>
      <c r="O765" s="2"/>
      <c r="P765" s="2"/>
      <c r="Q765" s="2"/>
      <c r="R765" s="2"/>
      <c r="S765" s="2"/>
      <c r="T765" s="2"/>
      <c r="U765" s="2"/>
      <c r="V765" s="22"/>
    </row>
    <row r="766" spans="4:22" ht="13.2" x14ac:dyDescent="0.25">
      <c r="D766" s="2"/>
      <c r="E766" s="2"/>
      <c r="F766" s="2"/>
      <c r="G766" s="2"/>
      <c r="H766" s="2"/>
      <c r="I766" s="2"/>
      <c r="J766" s="2"/>
      <c r="K766" s="2"/>
      <c r="L766" s="2"/>
      <c r="M766" s="2"/>
      <c r="N766" s="2"/>
      <c r="O766" s="2"/>
      <c r="P766" s="2"/>
      <c r="Q766" s="2"/>
      <c r="R766" s="2"/>
      <c r="S766" s="2"/>
      <c r="T766" s="2"/>
      <c r="U766" s="2"/>
      <c r="V766" s="22"/>
    </row>
    <row r="767" spans="4:22" ht="13.2" x14ac:dyDescent="0.25">
      <c r="D767" s="2"/>
      <c r="E767" s="2"/>
      <c r="F767" s="2"/>
      <c r="G767" s="2"/>
      <c r="H767" s="2"/>
      <c r="I767" s="2"/>
      <c r="J767" s="2"/>
      <c r="K767" s="2"/>
      <c r="L767" s="2"/>
      <c r="M767" s="2"/>
      <c r="N767" s="2"/>
      <c r="O767" s="2"/>
      <c r="P767" s="2"/>
      <c r="Q767" s="2"/>
      <c r="R767" s="2"/>
      <c r="S767" s="2"/>
      <c r="T767" s="2"/>
      <c r="U767" s="2"/>
      <c r="V767" s="22"/>
    </row>
    <row r="768" spans="4:22" ht="13.2" x14ac:dyDescent="0.25">
      <c r="D768" s="2"/>
      <c r="E768" s="2"/>
      <c r="F768" s="2"/>
      <c r="G768" s="2"/>
      <c r="H768" s="2"/>
      <c r="I768" s="2"/>
      <c r="J768" s="2"/>
      <c r="K768" s="2"/>
      <c r="L768" s="2"/>
      <c r="M768" s="2"/>
      <c r="N768" s="2"/>
      <c r="O768" s="2"/>
      <c r="P768" s="2"/>
      <c r="Q768" s="2"/>
      <c r="R768" s="2"/>
      <c r="S768" s="2"/>
      <c r="T768" s="2"/>
      <c r="U768" s="2"/>
      <c r="V768" s="22"/>
    </row>
    <row r="769" spans="4:22" ht="13.2" x14ac:dyDescent="0.25">
      <c r="D769" s="2"/>
      <c r="E769" s="2"/>
      <c r="F769" s="2"/>
      <c r="G769" s="2"/>
      <c r="H769" s="2"/>
      <c r="I769" s="2"/>
      <c r="J769" s="2"/>
      <c r="K769" s="2"/>
      <c r="L769" s="2"/>
      <c r="M769" s="2"/>
      <c r="N769" s="2"/>
      <c r="O769" s="2"/>
      <c r="P769" s="2"/>
      <c r="Q769" s="2"/>
      <c r="R769" s="2"/>
      <c r="S769" s="2"/>
      <c r="T769" s="2"/>
      <c r="U769" s="2"/>
      <c r="V769" s="22"/>
    </row>
    <row r="770" spans="4:22" ht="13.2" x14ac:dyDescent="0.25">
      <c r="D770" s="2"/>
      <c r="E770" s="2"/>
      <c r="F770" s="2"/>
      <c r="G770" s="2"/>
      <c r="H770" s="2"/>
      <c r="I770" s="2"/>
      <c r="J770" s="2"/>
      <c r="K770" s="2"/>
      <c r="L770" s="2"/>
      <c r="M770" s="2"/>
      <c r="N770" s="2"/>
      <c r="O770" s="2"/>
      <c r="P770" s="2"/>
      <c r="Q770" s="2"/>
      <c r="R770" s="2"/>
      <c r="S770" s="2"/>
      <c r="T770" s="2"/>
      <c r="U770" s="2"/>
      <c r="V770" s="22"/>
    </row>
    <row r="771" spans="4:22" ht="13.2" x14ac:dyDescent="0.25">
      <c r="D771" s="2"/>
      <c r="E771" s="2"/>
      <c r="F771" s="2"/>
      <c r="G771" s="2"/>
      <c r="H771" s="2"/>
      <c r="I771" s="2"/>
      <c r="J771" s="2"/>
      <c r="K771" s="2"/>
      <c r="L771" s="2"/>
      <c r="M771" s="2"/>
      <c r="N771" s="2"/>
      <c r="O771" s="2"/>
      <c r="P771" s="2"/>
      <c r="Q771" s="2"/>
      <c r="R771" s="2"/>
      <c r="S771" s="2"/>
      <c r="T771" s="2"/>
      <c r="U771" s="2"/>
      <c r="V771" s="22"/>
    </row>
    <row r="772" spans="4:22" ht="13.2" x14ac:dyDescent="0.25">
      <c r="D772" s="2"/>
      <c r="E772" s="2"/>
      <c r="F772" s="2"/>
      <c r="G772" s="2"/>
      <c r="H772" s="2"/>
      <c r="I772" s="2"/>
      <c r="J772" s="2"/>
      <c r="K772" s="2"/>
      <c r="L772" s="2"/>
      <c r="M772" s="2"/>
      <c r="N772" s="2"/>
      <c r="O772" s="2"/>
      <c r="P772" s="2"/>
      <c r="Q772" s="2"/>
      <c r="R772" s="2"/>
      <c r="S772" s="2"/>
      <c r="T772" s="2"/>
      <c r="U772" s="2"/>
      <c r="V772" s="22"/>
    </row>
    <row r="773" spans="4:22" ht="13.2" x14ac:dyDescent="0.25">
      <c r="D773" s="2"/>
      <c r="E773" s="2"/>
      <c r="F773" s="2"/>
      <c r="G773" s="2"/>
      <c r="H773" s="2"/>
      <c r="I773" s="2"/>
      <c r="J773" s="2"/>
      <c r="K773" s="2"/>
      <c r="L773" s="2"/>
      <c r="M773" s="2"/>
      <c r="N773" s="2"/>
      <c r="O773" s="2"/>
      <c r="P773" s="2"/>
      <c r="Q773" s="2"/>
      <c r="R773" s="2"/>
      <c r="S773" s="2"/>
      <c r="T773" s="2"/>
      <c r="U773" s="2"/>
      <c r="V773" s="22"/>
    </row>
    <row r="774" spans="4:22" ht="13.2" x14ac:dyDescent="0.25">
      <c r="D774" s="2"/>
      <c r="E774" s="2"/>
      <c r="F774" s="2"/>
      <c r="G774" s="2"/>
      <c r="H774" s="2"/>
      <c r="I774" s="2"/>
      <c r="J774" s="2"/>
      <c r="K774" s="2"/>
      <c r="L774" s="2"/>
      <c r="M774" s="2"/>
      <c r="N774" s="2"/>
      <c r="O774" s="2"/>
      <c r="P774" s="2"/>
      <c r="Q774" s="2"/>
      <c r="R774" s="2"/>
      <c r="S774" s="2"/>
      <c r="T774" s="2"/>
      <c r="U774" s="2"/>
      <c r="V774" s="22"/>
    </row>
    <row r="775" spans="4:22" ht="13.2" x14ac:dyDescent="0.25">
      <c r="D775" s="2"/>
      <c r="E775" s="2"/>
      <c r="F775" s="2"/>
      <c r="G775" s="2"/>
      <c r="H775" s="2"/>
      <c r="I775" s="2"/>
      <c r="J775" s="2"/>
      <c r="K775" s="2"/>
      <c r="L775" s="2"/>
      <c r="M775" s="2"/>
      <c r="N775" s="2"/>
      <c r="O775" s="2"/>
      <c r="P775" s="2"/>
      <c r="Q775" s="2"/>
      <c r="R775" s="2"/>
      <c r="S775" s="2"/>
      <c r="T775" s="2"/>
      <c r="U775" s="2"/>
      <c r="V775" s="22"/>
    </row>
    <row r="776" spans="4:22" ht="13.2" x14ac:dyDescent="0.25">
      <c r="D776" s="2"/>
      <c r="E776" s="2"/>
      <c r="F776" s="2"/>
      <c r="G776" s="2"/>
      <c r="H776" s="2"/>
      <c r="I776" s="2"/>
      <c r="J776" s="2"/>
      <c r="K776" s="2"/>
      <c r="L776" s="2"/>
      <c r="M776" s="2"/>
      <c r="N776" s="2"/>
      <c r="O776" s="2"/>
      <c r="P776" s="2"/>
      <c r="Q776" s="2"/>
      <c r="R776" s="2"/>
      <c r="S776" s="2"/>
      <c r="T776" s="2"/>
      <c r="U776" s="2"/>
      <c r="V776" s="22"/>
    </row>
    <row r="777" spans="4:22" ht="13.2" x14ac:dyDescent="0.25">
      <c r="D777" s="2"/>
      <c r="E777" s="2"/>
      <c r="F777" s="2"/>
      <c r="G777" s="2"/>
      <c r="H777" s="2"/>
      <c r="I777" s="2"/>
      <c r="J777" s="2"/>
      <c r="K777" s="2"/>
      <c r="L777" s="2"/>
      <c r="M777" s="2"/>
      <c r="N777" s="2"/>
      <c r="O777" s="2"/>
      <c r="P777" s="2"/>
      <c r="Q777" s="2"/>
      <c r="R777" s="2"/>
      <c r="S777" s="2"/>
      <c r="T777" s="2"/>
      <c r="U777" s="2"/>
      <c r="V777" s="22"/>
    </row>
    <row r="778" spans="4:22" ht="13.2" x14ac:dyDescent="0.25">
      <c r="D778" s="2"/>
      <c r="E778" s="2"/>
      <c r="F778" s="2"/>
      <c r="G778" s="2"/>
      <c r="H778" s="2"/>
      <c r="I778" s="2"/>
      <c r="J778" s="2"/>
      <c r="K778" s="2"/>
      <c r="L778" s="2"/>
      <c r="M778" s="2"/>
      <c r="N778" s="2"/>
      <c r="O778" s="2"/>
      <c r="P778" s="2"/>
      <c r="Q778" s="2"/>
      <c r="R778" s="2"/>
      <c r="S778" s="2"/>
      <c r="T778" s="2"/>
      <c r="U778" s="2"/>
      <c r="V778" s="22"/>
    </row>
    <row r="779" spans="4:22" ht="13.2" x14ac:dyDescent="0.25">
      <c r="D779" s="2"/>
      <c r="E779" s="2"/>
      <c r="F779" s="2"/>
      <c r="G779" s="2"/>
      <c r="H779" s="2"/>
      <c r="I779" s="2"/>
      <c r="J779" s="2"/>
      <c r="K779" s="2"/>
      <c r="L779" s="2"/>
      <c r="M779" s="2"/>
      <c r="N779" s="2"/>
      <c r="O779" s="2"/>
      <c r="P779" s="2"/>
      <c r="Q779" s="2"/>
      <c r="R779" s="2"/>
      <c r="S779" s="2"/>
      <c r="T779" s="2"/>
      <c r="U779" s="2"/>
      <c r="V779" s="22"/>
    </row>
    <row r="780" spans="4:22" ht="13.2" x14ac:dyDescent="0.25">
      <c r="D780" s="2"/>
      <c r="E780" s="2"/>
      <c r="F780" s="2"/>
      <c r="G780" s="2"/>
      <c r="H780" s="2"/>
      <c r="I780" s="2"/>
      <c r="J780" s="2"/>
      <c r="K780" s="2"/>
      <c r="L780" s="2"/>
      <c r="M780" s="2"/>
      <c r="N780" s="2"/>
      <c r="O780" s="2"/>
      <c r="P780" s="2"/>
      <c r="Q780" s="2"/>
      <c r="R780" s="2"/>
      <c r="S780" s="2"/>
      <c r="T780" s="2"/>
      <c r="U780" s="2"/>
      <c r="V780" s="22"/>
    </row>
    <row r="781" spans="4:22" ht="13.2" x14ac:dyDescent="0.25">
      <c r="D781" s="2"/>
      <c r="E781" s="2"/>
      <c r="F781" s="2"/>
      <c r="G781" s="2"/>
      <c r="H781" s="2"/>
      <c r="I781" s="2"/>
      <c r="J781" s="2"/>
      <c r="K781" s="2"/>
      <c r="L781" s="2"/>
      <c r="M781" s="2"/>
      <c r="N781" s="2"/>
      <c r="O781" s="2"/>
      <c r="P781" s="2"/>
      <c r="Q781" s="2"/>
      <c r="R781" s="2"/>
      <c r="S781" s="2"/>
      <c r="T781" s="2"/>
      <c r="U781" s="2"/>
      <c r="V781" s="22"/>
    </row>
    <row r="782" spans="4:22" ht="13.2" x14ac:dyDescent="0.25">
      <c r="D782" s="2"/>
      <c r="E782" s="2"/>
      <c r="F782" s="2"/>
      <c r="G782" s="2"/>
      <c r="H782" s="2"/>
      <c r="I782" s="2"/>
      <c r="J782" s="2"/>
      <c r="K782" s="2"/>
      <c r="L782" s="2"/>
      <c r="M782" s="2"/>
      <c r="N782" s="2"/>
      <c r="O782" s="2"/>
      <c r="P782" s="2"/>
      <c r="Q782" s="2"/>
      <c r="R782" s="2"/>
      <c r="S782" s="2"/>
      <c r="T782" s="2"/>
      <c r="U782" s="2"/>
      <c r="V782" s="22"/>
    </row>
    <row r="783" spans="4:22" ht="13.2" x14ac:dyDescent="0.25">
      <c r="D783" s="2"/>
      <c r="E783" s="2"/>
      <c r="F783" s="2"/>
      <c r="G783" s="2"/>
      <c r="H783" s="2"/>
      <c r="I783" s="2"/>
      <c r="J783" s="2"/>
      <c r="K783" s="2"/>
      <c r="L783" s="2"/>
      <c r="M783" s="2"/>
      <c r="N783" s="2"/>
      <c r="O783" s="2"/>
      <c r="P783" s="2"/>
      <c r="Q783" s="2"/>
      <c r="R783" s="2"/>
      <c r="S783" s="2"/>
      <c r="T783" s="2"/>
      <c r="U783" s="2"/>
      <c r="V783" s="22"/>
    </row>
    <row r="784" spans="4:22" ht="13.2" x14ac:dyDescent="0.25">
      <c r="D784" s="2"/>
      <c r="E784" s="2"/>
      <c r="F784" s="2"/>
      <c r="G784" s="2"/>
      <c r="H784" s="2"/>
      <c r="I784" s="2"/>
      <c r="J784" s="2"/>
      <c r="K784" s="2"/>
      <c r="L784" s="2"/>
      <c r="M784" s="2"/>
      <c r="N784" s="2"/>
      <c r="O784" s="2"/>
      <c r="P784" s="2"/>
      <c r="Q784" s="2"/>
      <c r="R784" s="2"/>
      <c r="S784" s="2"/>
      <c r="T784" s="2"/>
      <c r="U784" s="2"/>
      <c r="V784" s="22"/>
    </row>
    <row r="785" spans="4:22" ht="13.2" x14ac:dyDescent="0.25">
      <c r="D785" s="2"/>
      <c r="E785" s="2"/>
      <c r="F785" s="2"/>
      <c r="G785" s="2"/>
      <c r="H785" s="2"/>
      <c r="I785" s="2"/>
      <c r="J785" s="2"/>
      <c r="K785" s="2"/>
      <c r="L785" s="2"/>
      <c r="M785" s="2"/>
      <c r="N785" s="2"/>
      <c r="O785" s="2"/>
      <c r="P785" s="2"/>
      <c r="Q785" s="2"/>
      <c r="R785" s="2"/>
      <c r="S785" s="2"/>
      <c r="T785" s="2"/>
      <c r="U785" s="2"/>
      <c r="V785" s="22"/>
    </row>
    <row r="786" spans="4:22" ht="13.2" x14ac:dyDescent="0.25">
      <c r="D786" s="2"/>
      <c r="E786" s="2"/>
      <c r="F786" s="2"/>
      <c r="G786" s="2"/>
      <c r="H786" s="2"/>
      <c r="I786" s="2"/>
      <c r="J786" s="2"/>
      <c r="K786" s="2"/>
      <c r="L786" s="2"/>
      <c r="M786" s="2"/>
      <c r="N786" s="2"/>
      <c r="O786" s="2"/>
      <c r="P786" s="2"/>
      <c r="Q786" s="2"/>
      <c r="R786" s="2"/>
      <c r="S786" s="2"/>
      <c r="T786" s="2"/>
      <c r="U786" s="2"/>
      <c r="V786" s="22"/>
    </row>
    <row r="787" spans="4:22" ht="13.2" x14ac:dyDescent="0.25">
      <c r="D787" s="2"/>
      <c r="E787" s="2"/>
      <c r="F787" s="2"/>
      <c r="G787" s="2"/>
      <c r="H787" s="2"/>
      <c r="I787" s="2"/>
      <c r="J787" s="2"/>
      <c r="K787" s="2"/>
      <c r="L787" s="2"/>
      <c r="M787" s="2"/>
      <c r="N787" s="2"/>
      <c r="O787" s="2"/>
      <c r="P787" s="2"/>
      <c r="Q787" s="2"/>
      <c r="R787" s="2"/>
      <c r="S787" s="2"/>
      <c r="T787" s="2"/>
      <c r="U787" s="2"/>
      <c r="V787" s="22"/>
    </row>
    <row r="788" spans="4:22" ht="13.2" x14ac:dyDescent="0.25">
      <c r="D788" s="2"/>
      <c r="E788" s="2"/>
      <c r="F788" s="2"/>
      <c r="G788" s="2"/>
      <c r="H788" s="2"/>
      <c r="I788" s="2"/>
      <c r="J788" s="2"/>
      <c r="K788" s="2"/>
      <c r="L788" s="2"/>
      <c r="M788" s="2"/>
      <c r="N788" s="2"/>
      <c r="O788" s="2"/>
      <c r="P788" s="2"/>
      <c r="Q788" s="2"/>
      <c r="R788" s="2"/>
      <c r="S788" s="2"/>
      <c r="T788" s="2"/>
      <c r="U788" s="2"/>
      <c r="V788" s="22"/>
    </row>
    <row r="789" spans="4:22" ht="13.2" x14ac:dyDescent="0.25">
      <c r="D789" s="2"/>
      <c r="E789" s="2"/>
      <c r="F789" s="2"/>
      <c r="G789" s="2"/>
      <c r="H789" s="2"/>
      <c r="I789" s="2"/>
      <c r="J789" s="2"/>
      <c r="K789" s="2"/>
      <c r="L789" s="2"/>
      <c r="M789" s="2"/>
      <c r="N789" s="2"/>
      <c r="O789" s="2"/>
      <c r="P789" s="2"/>
      <c r="Q789" s="2"/>
      <c r="R789" s="2"/>
      <c r="S789" s="2"/>
      <c r="T789" s="2"/>
      <c r="U789" s="2"/>
      <c r="V789" s="22"/>
    </row>
    <row r="790" spans="4:22" ht="13.2" x14ac:dyDescent="0.25">
      <c r="D790" s="2"/>
      <c r="E790" s="2"/>
      <c r="F790" s="2"/>
      <c r="G790" s="2"/>
      <c r="H790" s="2"/>
      <c r="I790" s="2"/>
      <c r="J790" s="2"/>
      <c r="K790" s="2"/>
      <c r="L790" s="2"/>
      <c r="M790" s="2"/>
      <c r="N790" s="2"/>
      <c r="O790" s="2"/>
      <c r="P790" s="2"/>
      <c r="Q790" s="2"/>
      <c r="R790" s="2"/>
      <c r="S790" s="2"/>
      <c r="T790" s="2"/>
      <c r="U790" s="2"/>
      <c r="V790" s="22"/>
    </row>
    <row r="791" spans="4:22" ht="13.2" x14ac:dyDescent="0.25">
      <c r="D791" s="2"/>
      <c r="E791" s="2"/>
      <c r="F791" s="2"/>
      <c r="G791" s="2"/>
      <c r="H791" s="2"/>
      <c r="I791" s="2"/>
      <c r="J791" s="2"/>
      <c r="K791" s="2"/>
      <c r="L791" s="2"/>
      <c r="M791" s="2"/>
      <c r="N791" s="2"/>
      <c r="O791" s="2"/>
      <c r="P791" s="2"/>
      <c r="Q791" s="2"/>
      <c r="R791" s="2"/>
      <c r="S791" s="2"/>
      <c r="T791" s="2"/>
      <c r="U791" s="2"/>
      <c r="V791" s="22"/>
    </row>
    <row r="792" spans="4:22" ht="13.2" x14ac:dyDescent="0.25">
      <c r="D792" s="2"/>
      <c r="E792" s="2"/>
      <c r="F792" s="2"/>
      <c r="G792" s="2"/>
      <c r="H792" s="2"/>
      <c r="I792" s="2"/>
      <c r="J792" s="2"/>
      <c r="K792" s="2"/>
      <c r="L792" s="2"/>
      <c r="M792" s="2"/>
      <c r="N792" s="2"/>
      <c r="O792" s="2"/>
      <c r="P792" s="2"/>
      <c r="Q792" s="2"/>
      <c r="R792" s="2"/>
      <c r="S792" s="2"/>
      <c r="T792" s="2"/>
      <c r="U792" s="2"/>
      <c r="V792" s="22"/>
    </row>
    <row r="793" spans="4:22" ht="13.2" x14ac:dyDescent="0.25">
      <c r="D793" s="2"/>
      <c r="E793" s="2"/>
      <c r="F793" s="2"/>
      <c r="G793" s="2"/>
      <c r="H793" s="2"/>
      <c r="I793" s="2"/>
      <c r="J793" s="2"/>
      <c r="K793" s="2"/>
      <c r="L793" s="2"/>
      <c r="M793" s="2"/>
      <c r="N793" s="2"/>
      <c r="O793" s="2"/>
      <c r="P793" s="2"/>
      <c r="Q793" s="2"/>
      <c r="R793" s="2"/>
      <c r="S793" s="2"/>
      <c r="T793" s="2"/>
      <c r="U793" s="2"/>
      <c r="V793" s="22"/>
    </row>
    <row r="794" spans="4:22" ht="13.2" x14ac:dyDescent="0.25">
      <c r="D794" s="2"/>
      <c r="E794" s="2"/>
      <c r="F794" s="2"/>
      <c r="G794" s="2"/>
      <c r="H794" s="2"/>
      <c r="I794" s="2"/>
      <c r="J794" s="2"/>
      <c r="K794" s="2"/>
      <c r="L794" s="2"/>
      <c r="M794" s="2"/>
      <c r="N794" s="2"/>
      <c r="O794" s="2"/>
      <c r="P794" s="2"/>
      <c r="Q794" s="2"/>
      <c r="R794" s="2"/>
      <c r="S794" s="2"/>
      <c r="T794" s="2"/>
      <c r="U794" s="2"/>
      <c r="V794" s="22"/>
    </row>
    <row r="795" spans="4:22" ht="13.2" x14ac:dyDescent="0.25">
      <c r="D795" s="2"/>
      <c r="E795" s="2"/>
      <c r="F795" s="2"/>
      <c r="G795" s="2"/>
      <c r="H795" s="2"/>
      <c r="I795" s="2"/>
      <c r="J795" s="2"/>
      <c r="K795" s="2"/>
      <c r="L795" s="2"/>
      <c r="M795" s="2"/>
      <c r="N795" s="2"/>
      <c r="O795" s="2"/>
      <c r="P795" s="2"/>
      <c r="Q795" s="2"/>
      <c r="R795" s="2"/>
      <c r="S795" s="2"/>
      <c r="T795" s="2"/>
      <c r="U795" s="2"/>
      <c r="V795" s="22"/>
    </row>
    <row r="796" spans="4:22" ht="13.2" x14ac:dyDescent="0.25">
      <c r="D796" s="2"/>
      <c r="E796" s="2"/>
      <c r="F796" s="2"/>
      <c r="G796" s="2"/>
      <c r="H796" s="2"/>
      <c r="I796" s="2"/>
      <c r="J796" s="2"/>
      <c r="K796" s="2"/>
      <c r="L796" s="2"/>
      <c r="M796" s="2"/>
      <c r="N796" s="2"/>
      <c r="O796" s="2"/>
      <c r="P796" s="2"/>
      <c r="Q796" s="2"/>
      <c r="R796" s="2"/>
      <c r="S796" s="2"/>
      <c r="T796" s="2"/>
      <c r="U796" s="2"/>
      <c r="V796" s="22"/>
    </row>
    <row r="797" spans="4:22" ht="13.2" x14ac:dyDescent="0.25">
      <c r="D797" s="2"/>
      <c r="E797" s="2"/>
      <c r="F797" s="2"/>
      <c r="G797" s="2"/>
      <c r="H797" s="2"/>
      <c r="I797" s="2"/>
      <c r="J797" s="2"/>
      <c r="K797" s="2"/>
      <c r="L797" s="2"/>
      <c r="M797" s="2"/>
      <c r="N797" s="2"/>
      <c r="O797" s="2"/>
      <c r="P797" s="2"/>
      <c r="Q797" s="2"/>
      <c r="R797" s="2"/>
      <c r="S797" s="2"/>
      <c r="T797" s="2"/>
      <c r="U797" s="2"/>
      <c r="V797" s="22"/>
    </row>
    <row r="798" spans="4:22" ht="13.2" x14ac:dyDescent="0.25">
      <c r="D798" s="2"/>
      <c r="E798" s="2"/>
      <c r="F798" s="2"/>
      <c r="G798" s="2"/>
      <c r="H798" s="2"/>
      <c r="I798" s="2"/>
      <c r="J798" s="2"/>
      <c r="K798" s="2"/>
      <c r="L798" s="2"/>
      <c r="M798" s="2"/>
      <c r="N798" s="2"/>
      <c r="O798" s="2"/>
      <c r="P798" s="2"/>
      <c r="Q798" s="2"/>
      <c r="R798" s="2"/>
      <c r="S798" s="2"/>
      <c r="T798" s="2"/>
      <c r="U798" s="2"/>
      <c r="V798" s="22"/>
    </row>
    <row r="799" spans="4:22" ht="13.2" x14ac:dyDescent="0.25">
      <c r="D799" s="2"/>
      <c r="E799" s="2"/>
      <c r="F799" s="2"/>
      <c r="G799" s="2"/>
      <c r="H799" s="2"/>
      <c r="I799" s="2"/>
      <c r="J799" s="2"/>
      <c r="K799" s="2"/>
      <c r="L799" s="2"/>
      <c r="M799" s="2"/>
      <c r="N799" s="2"/>
      <c r="O799" s="2"/>
      <c r="P799" s="2"/>
      <c r="Q799" s="2"/>
      <c r="R799" s="2"/>
      <c r="S799" s="2"/>
      <c r="T799" s="2"/>
      <c r="U799" s="2"/>
      <c r="V799" s="22"/>
    </row>
    <row r="800" spans="4:22" ht="13.2" x14ac:dyDescent="0.25">
      <c r="D800" s="2"/>
      <c r="E800" s="2"/>
      <c r="F800" s="2"/>
      <c r="G800" s="2"/>
      <c r="H800" s="2"/>
      <c r="I800" s="2"/>
      <c r="J800" s="2"/>
      <c r="K800" s="2"/>
      <c r="L800" s="2"/>
      <c r="M800" s="2"/>
      <c r="N800" s="2"/>
      <c r="O800" s="2"/>
      <c r="P800" s="2"/>
      <c r="Q800" s="2"/>
      <c r="R800" s="2"/>
      <c r="S800" s="2"/>
      <c r="T800" s="2"/>
      <c r="U800" s="2"/>
      <c r="V800" s="22"/>
    </row>
    <row r="801" spans="4:22" ht="13.2" x14ac:dyDescent="0.25">
      <c r="D801" s="2"/>
      <c r="E801" s="2"/>
      <c r="F801" s="2"/>
      <c r="G801" s="2"/>
      <c r="H801" s="2"/>
      <c r="I801" s="2"/>
      <c r="J801" s="2"/>
      <c r="K801" s="2"/>
      <c r="L801" s="2"/>
      <c r="M801" s="2"/>
      <c r="N801" s="2"/>
      <c r="O801" s="2"/>
      <c r="P801" s="2"/>
      <c r="Q801" s="2"/>
      <c r="R801" s="2"/>
      <c r="S801" s="2"/>
      <c r="T801" s="2"/>
      <c r="U801" s="2"/>
      <c r="V801" s="22"/>
    </row>
    <row r="802" spans="4:22" ht="13.2" x14ac:dyDescent="0.25">
      <c r="D802" s="2"/>
      <c r="E802" s="2"/>
      <c r="F802" s="2"/>
      <c r="G802" s="2"/>
      <c r="H802" s="2"/>
      <c r="I802" s="2"/>
      <c r="J802" s="2"/>
      <c r="K802" s="2"/>
      <c r="L802" s="2"/>
      <c r="M802" s="2"/>
      <c r="N802" s="2"/>
      <c r="O802" s="2"/>
      <c r="P802" s="2"/>
      <c r="Q802" s="2"/>
      <c r="R802" s="2"/>
      <c r="S802" s="2"/>
      <c r="T802" s="2"/>
      <c r="U802" s="2"/>
      <c r="V802" s="22"/>
    </row>
    <row r="803" spans="4:22" ht="13.2" x14ac:dyDescent="0.25">
      <c r="D803" s="2"/>
      <c r="E803" s="2"/>
      <c r="F803" s="2"/>
      <c r="G803" s="2"/>
      <c r="H803" s="2"/>
      <c r="I803" s="2"/>
      <c r="J803" s="2"/>
      <c r="K803" s="2"/>
      <c r="L803" s="2"/>
      <c r="M803" s="2"/>
      <c r="N803" s="2"/>
      <c r="O803" s="2"/>
      <c r="P803" s="2"/>
      <c r="Q803" s="2"/>
      <c r="R803" s="2"/>
      <c r="S803" s="2"/>
      <c r="T803" s="2"/>
      <c r="U803" s="2"/>
      <c r="V803" s="22"/>
    </row>
    <row r="804" spans="4:22" ht="13.2" x14ac:dyDescent="0.25">
      <c r="D804" s="2"/>
      <c r="E804" s="2"/>
      <c r="F804" s="2"/>
      <c r="G804" s="2"/>
      <c r="H804" s="2"/>
      <c r="I804" s="2"/>
      <c r="J804" s="2"/>
      <c r="K804" s="2"/>
      <c r="L804" s="2"/>
      <c r="M804" s="2"/>
      <c r="N804" s="2"/>
      <c r="O804" s="2"/>
      <c r="P804" s="2"/>
      <c r="Q804" s="2"/>
      <c r="R804" s="2"/>
      <c r="S804" s="2"/>
      <c r="T804" s="2"/>
      <c r="U804" s="2"/>
      <c r="V804" s="22"/>
    </row>
    <row r="805" spans="4:22" ht="13.2" x14ac:dyDescent="0.25">
      <c r="D805" s="2"/>
      <c r="E805" s="2"/>
      <c r="F805" s="2"/>
      <c r="G805" s="2"/>
      <c r="H805" s="2"/>
      <c r="I805" s="2"/>
      <c r="J805" s="2"/>
      <c r="K805" s="2"/>
      <c r="L805" s="2"/>
      <c r="M805" s="2"/>
      <c r="N805" s="2"/>
      <c r="O805" s="2"/>
      <c r="P805" s="2"/>
      <c r="Q805" s="2"/>
      <c r="R805" s="2"/>
      <c r="S805" s="2"/>
      <c r="T805" s="2"/>
      <c r="U805" s="2"/>
      <c r="V805" s="22"/>
    </row>
    <row r="806" spans="4:22" ht="13.2" x14ac:dyDescent="0.25">
      <c r="D806" s="2"/>
      <c r="E806" s="2"/>
      <c r="F806" s="2"/>
      <c r="G806" s="2"/>
      <c r="H806" s="2"/>
      <c r="I806" s="2"/>
      <c r="J806" s="2"/>
      <c r="K806" s="2"/>
      <c r="L806" s="2"/>
      <c r="M806" s="2"/>
      <c r="N806" s="2"/>
      <c r="O806" s="2"/>
      <c r="P806" s="2"/>
      <c r="Q806" s="2"/>
      <c r="R806" s="2"/>
      <c r="S806" s="2"/>
      <c r="T806" s="2"/>
      <c r="U806" s="2"/>
      <c r="V806" s="22"/>
    </row>
    <row r="807" spans="4:22" ht="13.2" x14ac:dyDescent="0.25">
      <c r="D807" s="2"/>
      <c r="E807" s="2"/>
      <c r="F807" s="2"/>
      <c r="G807" s="2"/>
      <c r="H807" s="2"/>
      <c r="I807" s="2"/>
      <c r="J807" s="2"/>
      <c r="K807" s="2"/>
      <c r="L807" s="2"/>
      <c r="M807" s="2"/>
      <c r="N807" s="2"/>
      <c r="O807" s="2"/>
      <c r="P807" s="2"/>
      <c r="Q807" s="2"/>
      <c r="R807" s="2"/>
      <c r="S807" s="2"/>
      <c r="T807" s="2"/>
      <c r="U807" s="2"/>
      <c r="V807" s="22"/>
    </row>
    <row r="808" spans="4:22" ht="13.2" x14ac:dyDescent="0.25">
      <c r="D808" s="2"/>
      <c r="E808" s="2"/>
      <c r="F808" s="2"/>
      <c r="G808" s="2"/>
      <c r="H808" s="2"/>
      <c r="I808" s="2"/>
      <c r="J808" s="2"/>
      <c r="K808" s="2"/>
      <c r="L808" s="2"/>
      <c r="M808" s="2"/>
      <c r="N808" s="2"/>
      <c r="O808" s="2"/>
      <c r="P808" s="2"/>
      <c r="Q808" s="2"/>
      <c r="R808" s="2"/>
      <c r="S808" s="2"/>
      <c r="T808" s="2"/>
      <c r="U808" s="2"/>
      <c r="V808" s="22"/>
    </row>
    <row r="809" spans="4:22" ht="13.2" x14ac:dyDescent="0.25">
      <c r="D809" s="2"/>
      <c r="E809" s="2"/>
      <c r="F809" s="2"/>
      <c r="G809" s="2"/>
      <c r="H809" s="2"/>
      <c r="I809" s="2"/>
      <c r="J809" s="2"/>
      <c r="K809" s="2"/>
      <c r="L809" s="2"/>
      <c r="M809" s="2"/>
      <c r="N809" s="2"/>
      <c r="O809" s="2"/>
      <c r="P809" s="2"/>
      <c r="Q809" s="2"/>
      <c r="R809" s="2"/>
      <c r="S809" s="2"/>
      <c r="T809" s="2"/>
      <c r="U809" s="2"/>
      <c r="V809" s="22"/>
    </row>
    <row r="810" spans="4:22" ht="13.2" x14ac:dyDescent="0.25">
      <c r="D810" s="2"/>
      <c r="E810" s="2"/>
      <c r="F810" s="2"/>
      <c r="G810" s="2"/>
      <c r="H810" s="2"/>
      <c r="I810" s="2"/>
      <c r="J810" s="2"/>
      <c r="K810" s="2"/>
      <c r="L810" s="2"/>
      <c r="M810" s="2"/>
      <c r="N810" s="2"/>
      <c r="O810" s="2"/>
      <c r="P810" s="2"/>
      <c r="Q810" s="2"/>
      <c r="R810" s="2"/>
      <c r="S810" s="2"/>
      <c r="T810" s="2"/>
      <c r="U810" s="2"/>
      <c r="V810" s="22"/>
    </row>
    <row r="811" spans="4:22" ht="13.2" x14ac:dyDescent="0.25">
      <c r="D811" s="2"/>
      <c r="E811" s="2"/>
      <c r="F811" s="2"/>
      <c r="G811" s="2"/>
      <c r="H811" s="2"/>
      <c r="I811" s="2"/>
      <c r="J811" s="2"/>
      <c r="K811" s="2"/>
      <c r="L811" s="2"/>
      <c r="M811" s="2"/>
      <c r="N811" s="2"/>
      <c r="O811" s="2"/>
      <c r="P811" s="2"/>
      <c r="Q811" s="2"/>
      <c r="R811" s="2"/>
      <c r="S811" s="2"/>
      <c r="T811" s="2"/>
      <c r="U811" s="2"/>
      <c r="V811" s="22"/>
    </row>
    <row r="812" spans="4:22" ht="13.2" x14ac:dyDescent="0.25">
      <c r="D812" s="2"/>
      <c r="E812" s="2"/>
      <c r="F812" s="2"/>
      <c r="G812" s="2"/>
      <c r="H812" s="2"/>
      <c r="I812" s="2"/>
      <c r="J812" s="2"/>
      <c r="K812" s="2"/>
      <c r="L812" s="2"/>
      <c r="M812" s="2"/>
      <c r="N812" s="2"/>
      <c r="O812" s="2"/>
      <c r="P812" s="2"/>
      <c r="Q812" s="2"/>
      <c r="R812" s="2"/>
      <c r="S812" s="2"/>
      <c r="T812" s="2"/>
      <c r="U812" s="2"/>
      <c r="V812" s="22"/>
    </row>
    <row r="813" spans="4:22" ht="13.2" x14ac:dyDescent="0.25">
      <c r="D813" s="2"/>
      <c r="E813" s="2"/>
      <c r="F813" s="2"/>
      <c r="G813" s="2"/>
      <c r="H813" s="2"/>
      <c r="I813" s="2"/>
      <c r="J813" s="2"/>
      <c r="K813" s="2"/>
      <c r="L813" s="2"/>
      <c r="M813" s="2"/>
      <c r="N813" s="2"/>
      <c r="O813" s="2"/>
      <c r="P813" s="2"/>
      <c r="Q813" s="2"/>
      <c r="R813" s="2"/>
      <c r="S813" s="2"/>
      <c r="T813" s="2"/>
      <c r="U813" s="2"/>
      <c r="V813" s="22"/>
    </row>
    <row r="814" spans="4:22" ht="13.2" x14ac:dyDescent="0.25">
      <c r="D814" s="2"/>
      <c r="E814" s="2"/>
      <c r="F814" s="2"/>
      <c r="G814" s="2"/>
      <c r="H814" s="2"/>
      <c r="I814" s="2"/>
      <c r="J814" s="2"/>
      <c r="K814" s="2"/>
      <c r="L814" s="2"/>
      <c r="M814" s="2"/>
      <c r="N814" s="2"/>
      <c r="O814" s="2"/>
      <c r="P814" s="2"/>
      <c r="Q814" s="2"/>
      <c r="R814" s="2"/>
      <c r="S814" s="2"/>
      <c r="T814" s="2"/>
      <c r="U814" s="2"/>
      <c r="V814" s="22"/>
    </row>
    <row r="815" spans="4:22" ht="13.2" x14ac:dyDescent="0.25">
      <c r="D815" s="2"/>
      <c r="E815" s="2"/>
      <c r="F815" s="2"/>
      <c r="G815" s="2"/>
      <c r="H815" s="2"/>
      <c r="I815" s="2"/>
      <c r="J815" s="2"/>
      <c r="K815" s="2"/>
      <c r="L815" s="2"/>
      <c r="M815" s="2"/>
      <c r="N815" s="2"/>
      <c r="O815" s="2"/>
      <c r="P815" s="2"/>
      <c r="Q815" s="2"/>
      <c r="R815" s="2"/>
      <c r="S815" s="2"/>
      <c r="T815" s="2"/>
      <c r="U815" s="2"/>
      <c r="V815" s="22"/>
    </row>
    <row r="816" spans="4:22" ht="13.2" x14ac:dyDescent="0.25">
      <c r="D816" s="2"/>
      <c r="E816" s="2"/>
      <c r="F816" s="2"/>
      <c r="G816" s="2"/>
      <c r="H816" s="2"/>
      <c r="I816" s="2"/>
      <c r="J816" s="2"/>
      <c r="K816" s="2"/>
      <c r="L816" s="2"/>
      <c r="M816" s="2"/>
      <c r="N816" s="2"/>
      <c r="O816" s="2"/>
      <c r="P816" s="2"/>
      <c r="Q816" s="2"/>
      <c r="R816" s="2"/>
      <c r="S816" s="2"/>
      <c r="T816" s="2"/>
      <c r="U816" s="2"/>
      <c r="V816" s="22"/>
    </row>
    <row r="817" spans="4:22" ht="13.2" x14ac:dyDescent="0.25">
      <c r="D817" s="2"/>
      <c r="E817" s="2"/>
      <c r="F817" s="2"/>
      <c r="G817" s="2"/>
      <c r="H817" s="2"/>
      <c r="I817" s="2"/>
      <c r="J817" s="2"/>
      <c r="K817" s="2"/>
      <c r="L817" s="2"/>
      <c r="M817" s="2"/>
      <c r="N817" s="2"/>
      <c r="O817" s="2"/>
      <c r="P817" s="2"/>
      <c r="Q817" s="2"/>
      <c r="R817" s="2"/>
      <c r="S817" s="2"/>
      <c r="T817" s="2"/>
      <c r="U817" s="2"/>
      <c r="V817" s="22"/>
    </row>
    <row r="818" spans="4:22" ht="13.2" x14ac:dyDescent="0.25">
      <c r="D818" s="2"/>
      <c r="E818" s="2"/>
      <c r="F818" s="2"/>
      <c r="G818" s="2"/>
      <c r="H818" s="2"/>
      <c r="I818" s="2"/>
      <c r="J818" s="2"/>
      <c r="K818" s="2"/>
      <c r="L818" s="2"/>
      <c r="M818" s="2"/>
      <c r="N818" s="2"/>
      <c r="O818" s="2"/>
      <c r="P818" s="2"/>
      <c r="Q818" s="2"/>
      <c r="R818" s="2"/>
      <c r="S818" s="2"/>
      <c r="T818" s="2"/>
      <c r="U818" s="2"/>
      <c r="V818" s="22"/>
    </row>
    <row r="819" spans="4:22" ht="13.2" x14ac:dyDescent="0.25">
      <c r="D819" s="2"/>
      <c r="E819" s="2"/>
      <c r="F819" s="2"/>
      <c r="G819" s="2"/>
      <c r="H819" s="2"/>
      <c r="I819" s="2"/>
      <c r="J819" s="2"/>
      <c r="K819" s="2"/>
      <c r="L819" s="2"/>
      <c r="M819" s="2"/>
      <c r="N819" s="2"/>
      <c r="O819" s="2"/>
      <c r="P819" s="2"/>
      <c r="Q819" s="2"/>
      <c r="R819" s="2"/>
      <c r="S819" s="2"/>
      <c r="T819" s="2"/>
      <c r="U819" s="2"/>
      <c r="V819" s="22"/>
    </row>
    <row r="820" spans="4:22" ht="13.2" x14ac:dyDescent="0.25">
      <c r="D820" s="2"/>
      <c r="E820" s="2"/>
      <c r="F820" s="2"/>
      <c r="G820" s="2"/>
      <c r="H820" s="2"/>
      <c r="I820" s="2"/>
      <c r="J820" s="2"/>
      <c r="K820" s="2"/>
      <c r="L820" s="2"/>
      <c r="M820" s="2"/>
      <c r="N820" s="2"/>
      <c r="O820" s="2"/>
      <c r="P820" s="2"/>
      <c r="Q820" s="2"/>
      <c r="R820" s="2"/>
      <c r="S820" s="2"/>
      <c r="T820" s="2"/>
      <c r="U820" s="2"/>
      <c r="V820" s="22"/>
    </row>
    <row r="821" spans="4:22" ht="13.2" x14ac:dyDescent="0.25">
      <c r="D821" s="2"/>
      <c r="E821" s="2"/>
      <c r="F821" s="2"/>
      <c r="G821" s="2"/>
      <c r="H821" s="2"/>
      <c r="I821" s="2"/>
      <c r="J821" s="2"/>
      <c r="K821" s="2"/>
      <c r="L821" s="2"/>
      <c r="M821" s="2"/>
      <c r="N821" s="2"/>
      <c r="O821" s="2"/>
      <c r="P821" s="2"/>
      <c r="Q821" s="2"/>
      <c r="R821" s="2"/>
      <c r="S821" s="2"/>
      <c r="T821" s="2"/>
      <c r="U821" s="2"/>
      <c r="V821" s="22"/>
    </row>
    <row r="822" spans="4:22" ht="13.2" x14ac:dyDescent="0.25">
      <c r="D822" s="2"/>
      <c r="E822" s="2"/>
      <c r="F822" s="2"/>
      <c r="G822" s="2"/>
      <c r="H822" s="2"/>
      <c r="I822" s="2"/>
      <c r="J822" s="2"/>
      <c r="K822" s="2"/>
      <c r="L822" s="2"/>
      <c r="M822" s="2"/>
      <c r="N822" s="2"/>
      <c r="O822" s="2"/>
      <c r="P822" s="2"/>
      <c r="Q822" s="2"/>
      <c r="R822" s="2"/>
      <c r="S822" s="2"/>
      <c r="T822" s="2"/>
      <c r="U822" s="2"/>
      <c r="V822" s="22"/>
    </row>
    <row r="823" spans="4:22" ht="13.2" x14ac:dyDescent="0.25">
      <c r="D823" s="2"/>
      <c r="E823" s="2"/>
      <c r="F823" s="2"/>
      <c r="G823" s="2"/>
      <c r="H823" s="2"/>
      <c r="I823" s="2"/>
      <c r="J823" s="2"/>
      <c r="K823" s="2"/>
      <c r="L823" s="2"/>
      <c r="M823" s="2"/>
      <c r="N823" s="2"/>
      <c r="O823" s="2"/>
      <c r="P823" s="2"/>
      <c r="Q823" s="2"/>
      <c r="R823" s="2"/>
      <c r="S823" s="2"/>
      <c r="T823" s="2"/>
      <c r="U823" s="2"/>
      <c r="V823" s="22"/>
    </row>
    <row r="824" spans="4:22" ht="13.2" x14ac:dyDescent="0.25">
      <c r="D824" s="2"/>
      <c r="E824" s="2"/>
      <c r="F824" s="2"/>
      <c r="G824" s="2"/>
      <c r="H824" s="2"/>
      <c r="I824" s="2"/>
      <c r="J824" s="2"/>
      <c r="K824" s="2"/>
      <c r="L824" s="2"/>
      <c r="M824" s="2"/>
      <c r="N824" s="2"/>
      <c r="O824" s="2"/>
      <c r="P824" s="2"/>
      <c r="Q824" s="2"/>
      <c r="R824" s="2"/>
      <c r="S824" s="2"/>
      <c r="T824" s="2"/>
      <c r="U824" s="2"/>
      <c r="V824" s="22"/>
    </row>
    <row r="825" spans="4:22" ht="13.2" x14ac:dyDescent="0.25">
      <c r="D825" s="2"/>
      <c r="E825" s="2"/>
      <c r="F825" s="2"/>
      <c r="G825" s="2"/>
      <c r="H825" s="2"/>
      <c r="I825" s="2"/>
      <c r="J825" s="2"/>
      <c r="K825" s="2"/>
      <c r="L825" s="2"/>
      <c r="M825" s="2"/>
      <c r="N825" s="2"/>
      <c r="O825" s="2"/>
      <c r="P825" s="2"/>
      <c r="Q825" s="2"/>
      <c r="R825" s="2"/>
      <c r="S825" s="2"/>
      <c r="T825" s="2"/>
      <c r="U825" s="2"/>
      <c r="V825" s="22"/>
    </row>
    <row r="826" spans="4:22" ht="13.2" x14ac:dyDescent="0.25">
      <c r="D826" s="2"/>
      <c r="E826" s="2"/>
      <c r="F826" s="2"/>
      <c r="G826" s="2"/>
      <c r="H826" s="2"/>
      <c r="I826" s="2"/>
      <c r="J826" s="2"/>
      <c r="K826" s="2"/>
      <c r="L826" s="2"/>
      <c r="M826" s="2"/>
      <c r="N826" s="2"/>
      <c r="O826" s="2"/>
      <c r="P826" s="2"/>
      <c r="Q826" s="2"/>
      <c r="R826" s="2"/>
      <c r="S826" s="2"/>
      <c r="T826" s="2"/>
      <c r="U826" s="2"/>
      <c r="V826" s="22"/>
    </row>
    <row r="827" spans="4:22" ht="13.2" x14ac:dyDescent="0.25">
      <c r="D827" s="2"/>
      <c r="E827" s="2"/>
      <c r="F827" s="2"/>
      <c r="G827" s="2"/>
      <c r="H827" s="2"/>
      <c r="I827" s="2"/>
      <c r="J827" s="2"/>
      <c r="K827" s="2"/>
      <c r="L827" s="2"/>
      <c r="M827" s="2"/>
      <c r="N827" s="2"/>
      <c r="O827" s="2"/>
      <c r="P827" s="2"/>
      <c r="Q827" s="2"/>
      <c r="R827" s="2"/>
      <c r="S827" s="2"/>
      <c r="T827" s="2"/>
      <c r="U827" s="2"/>
      <c r="V827" s="22"/>
    </row>
    <row r="828" spans="4:22" ht="13.2" x14ac:dyDescent="0.25">
      <c r="D828" s="2"/>
      <c r="E828" s="2"/>
      <c r="F828" s="2"/>
      <c r="G828" s="2"/>
      <c r="H828" s="2"/>
      <c r="I828" s="2"/>
      <c r="J828" s="2"/>
      <c r="K828" s="2"/>
      <c r="L828" s="2"/>
      <c r="M828" s="2"/>
      <c r="N828" s="2"/>
      <c r="O828" s="2"/>
      <c r="P828" s="2"/>
      <c r="Q828" s="2"/>
      <c r="R828" s="2"/>
      <c r="S828" s="2"/>
      <c r="T828" s="2"/>
      <c r="U828" s="2"/>
      <c r="V828" s="22"/>
    </row>
    <row r="829" spans="4:22" ht="13.2" x14ac:dyDescent="0.25">
      <c r="D829" s="2"/>
      <c r="E829" s="2"/>
      <c r="F829" s="2"/>
      <c r="G829" s="2"/>
      <c r="H829" s="2"/>
      <c r="I829" s="2"/>
      <c r="J829" s="2"/>
      <c r="K829" s="2"/>
      <c r="L829" s="2"/>
      <c r="M829" s="2"/>
      <c r="N829" s="2"/>
      <c r="O829" s="2"/>
      <c r="P829" s="2"/>
      <c r="Q829" s="2"/>
      <c r="R829" s="2"/>
      <c r="S829" s="2"/>
      <c r="T829" s="2"/>
      <c r="U829" s="2"/>
      <c r="V829" s="22"/>
    </row>
    <row r="830" spans="4:22" ht="13.2" x14ac:dyDescent="0.25">
      <c r="D830" s="2"/>
      <c r="E830" s="2"/>
      <c r="F830" s="2"/>
      <c r="G830" s="2"/>
      <c r="H830" s="2"/>
      <c r="I830" s="2"/>
      <c r="J830" s="2"/>
      <c r="K830" s="2"/>
      <c r="L830" s="2"/>
      <c r="M830" s="2"/>
      <c r="N830" s="2"/>
      <c r="O830" s="2"/>
      <c r="P830" s="2"/>
      <c r="Q830" s="2"/>
      <c r="R830" s="2"/>
      <c r="S830" s="2"/>
      <c r="T830" s="2"/>
      <c r="U830" s="2"/>
      <c r="V830" s="22"/>
    </row>
    <row r="831" spans="4:22" ht="13.2" x14ac:dyDescent="0.25">
      <c r="D831" s="2"/>
      <c r="E831" s="2"/>
      <c r="F831" s="2"/>
      <c r="G831" s="2"/>
      <c r="H831" s="2"/>
      <c r="I831" s="2"/>
      <c r="J831" s="2"/>
      <c r="K831" s="2"/>
      <c r="L831" s="2"/>
      <c r="M831" s="2"/>
      <c r="N831" s="2"/>
      <c r="O831" s="2"/>
      <c r="P831" s="2"/>
      <c r="Q831" s="2"/>
      <c r="R831" s="2"/>
      <c r="S831" s="2"/>
      <c r="T831" s="2"/>
      <c r="U831" s="2"/>
      <c r="V831" s="22"/>
    </row>
    <row r="832" spans="4:22" ht="13.2" x14ac:dyDescent="0.25">
      <c r="D832" s="2"/>
      <c r="E832" s="2"/>
      <c r="F832" s="2"/>
      <c r="G832" s="2"/>
      <c r="H832" s="2"/>
      <c r="I832" s="2"/>
      <c r="J832" s="2"/>
      <c r="K832" s="2"/>
      <c r="L832" s="2"/>
      <c r="M832" s="2"/>
      <c r="N832" s="2"/>
      <c r="O832" s="2"/>
      <c r="P832" s="2"/>
      <c r="Q832" s="2"/>
      <c r="R832" s="2"/>
      <c r="S832" s="2"/>
      <c r="T832" s="2"/>
      <c r="U832" s="2"/>
      <c r="V832" s="22"/>
    </row>
    <row r="833" spans="4:22" ht="13.2" x14ac:dyDescent="0.25">
      <c r="D833" s="2"/>
      <c r="E833" s="2"/>
      <c r="F833" s="2"/>
      <c r="G833" s="2"/>
      <c r="H833" s="2"/>
      <c r="I833" s="2"/>
      <c r="J833" s="2"/>
      <c r="K833" s="2"/>
      <c r="L833" s="2"/>
      <c r="M833" s="2"/>
      <c r="N833" s="2"/>
      <c r="O833" s="2"/>
      <c r="P833" s="2"/>
      <c r="Q833" s="2"/>
      <c r="R833" s="2"/>
      <c r="S833" s="2"/>
      <c r="T833" s="2"/>
      <c r="U833" s="2"/>
      <c r="V833" s="22"/>
    </row>
    <row r="834" spans="4:22" ht="13.2" x14ac:dyDescent="0.25">
      <c r="D834" s="2"/>
      <c r="E834" s="2"/>
      <c r="F834" s="2"/>
      <c r="G834" s="2"/>
      <c r="H834" s="2"/>
      <c r="I834" s="2"/>
      <c r="J834" s="2"/>
      <c r="K834" s="2"/>
      <c r="L834" s="2"/>
      <c r="M834" s="2"/>
      <c r="N834" s="2"/>
      <c r="O834" s="2"/>
      <c r="P834" s="2"/>
      <c r="Q834" s="2"/>
      <c r="R834" s="2"/>
      <c r="S834" s="2"/>
      <c r="T834" s="2"/>
      <c r="U834" s="2"/>
      <c r="V834" s="22"/>
    </row>
    <row r="835" spans="4:22" ht="13.2" x14ac:dyDescent="0.25">
      <c r="D835" s="2"/>
      <c r="E835" s="2"/>
      <c r="F835" s="2"/>
      <c r="G835" s="2"/>
      <c r="H835" s="2"/>
      <c r="I835" s="2"/>
      <c r="J835" s="2"/>
      <c r="K835" s="2"/>
      <c r="L835" s="2"/>
      <c r="M835" s="2"/>
      <c r="N835" s="2"/>
      <c r="O835" s="2"/>
      <c r="P835" s="2"/>
      <c r="Q835" s="2"/>
      <c r="R835" s="2"/>
      <c r="S835" s="2"/>
      <c r="T835" s="2"/>
      <c r="U835" s="2"/>
      <c r="V835" s="22"/>
    </row>
    <row r="836" spans="4:22" ht="13.2" x14ac:dyDescent="0.25">
      <c r="D836" s="2"/>
      <c r="E836" s="2"/>
      <c r="F836" s="2"/>
      <c r="G836" s="2"/>
      <c r="H836" s="2"/>
      <c r="I836" s="2"/>
      <c r="J836" s="2"/>
      <c r="K836" s="2"/>
      <c r="L836" s="2"/>
      <c r="M836" s="2"/>
      <c r="N836" s="2"/>
      <c r="O836" s="2"/>
      <c r="P836" s="2"/>
      <c r="Q836" s="2"/>
      <c r="R836" s="2"/>
      <c r="S836" s="2"/>
      <c r="T836" s="2"/>
      <c r="U836" s="2"/>
      <c r="V836" s="22"/>
    </row>
    <row r="837" spans="4:22" ht="13.2" x14ac:dyDescent="0.25">
      <c r="D837" s="2"/>
      <c r="E837" s="2"/>
      <c r="F837" s="2"/>
      <c r="G837" s="2"/>
      <c r="H837" s="2"/>
      <c r="I837" s="2"/>
      <c r="J837" s="2"/>
      <c r="K837" s="2"/>
      <c r="L837" s="2"/>
      <c r="M837" s="2"/>
      <c r="N837" s="2"/>
      <c r="O837" s="2"/>
      <c r="P837" s="2"/>
      <c r="Q837" s="2"/>
      <c r="R837" s="2"/>
      <c r="S837" s="2"/>
      <c r="T837" s="2"/>
      <c r="U837" s="2"/>
      <c r="V837" s="22"/>
    </row>
    <row r="838" spans="4:22" ht="13.2" x14ac:dyDescent="0.25">
      <c r="D838" s="2"/>
      <c r="E838" s="2"/>
      <c r="F838" s="2"/>
      <c r="G838" s="2"/>
      <c r="H838" s="2"/>
      <c r="I838" s="2"/>
      <c r="J838" s="2"/>
      <c r="K838" s="2"/>
      <c r="L838" s="2"/>
      <c r="M838" s="2"/>
      <c r="N838" s="2"/>
      <c r="O838" s="2"/>
      <c r="P838" s="2"/>
      <c r="Q838" s="2"/>
      <c r="R838" s="2"/>
      <c r="S838" s="2"/>
      <c r="T838" s="2"/>
      <c r="U838" s="2"/>
      <c r="V838" s="22"/>
    </row>
    <row r="839" spans="4:22" ht="13.2" x14ac:dyDescent="0.25">
      <c r="D839" s="2"/>
      <c r="E839" s="2"/>
      <c r="F839" s="2"/>
      <c r="G839" s="2"/>
      <c r="H839" s="2"/>
      <c r="I839" s="2"/>
      <c r="J839" s="2"/>
      <c r="K839" s="2"/>
      <c r="L839" s="2"/>
      <c r="M839" s="2"/>
      <c r="N839" s="2"/>
      <c r="O839" s="2"/>
      <c r="P839" s="2"/>
      <c r="Q839" s="2"/>
      <c r="R839" s="2"/>
      <c r="S839" s="2"/>
      <c r="T839" s="2"/>
      <c r="U839" s="2"/>
      <c r="V839" s="22"/>
    </row>
    <row r="840" spans="4:22" ht="13.2" x14ac:dyDescent="0.25">
      <c r="D840" s="2"/>
      <c r="E840" s="2"/>
      <c r="F840" s="2"/>
      <c r="G840" s="2"/>
      <c r="H840" s="2"/>
      <c r="I840" s="2"/>
      <c r="J840" s="2"/>
      <c r="K840" s="2"/>
      <c r="L840" s="2"/>
      <c r="M840" s="2"/>
      <c r="N840" s="2"/>
      <c r="O840" s="2"/>
      <c r="P840" s="2"/>
      <c r="Q840" s="2"/>
      <c r="R840" s="2"/>
      <c r="S840" s="2"/>
      <c r="T840" s="2"/>
      <c r="U840" s="2"/>
      <c r="V840" s="22"/>
    </row>
    <row r="841" spans="4:22" ht="13.2" x14ac:dyDescent="0.25">
      <c r="D841" s="2"/>
      <c r="E841" s="2"/>
      <c r="F841" s="2"/>
      <c r="G841" s="2"/>
      <c r="H841" s="2"/>
      <c r="I841" s="2"/>
      <c r="J841" s="2"/>
      <c r="K841" s="2"/>
      <c r="L841" s="2"/>
      <c r="M841" s="2"/>
      <c r="N841" s="2"/>
      <c r="O841" s="2"/>
      <c r="P841" s="2"/>
      <c r="Q841" s="2"/>
      <c r="R841" s="2"/>
      <c r="S841" s="2"/>
      <c r="T841" s="2"/>
      <c r="U841" s="2"/>
      <c r="V841" s="22"/>
    </row>
    <row r="842" spans="4:22" ht="13.2" x14ac:dyDescent="0.25">
      <c r="D842" s="2"/>
      <c r="E842" s="2"/>
      <c r="F842" s="2"/>
      <c r="G842" s="2"/>
      <c r="H842" s="2"/>
      <c r="I842" s="2"/>
      <c r="J842" s="2"/>
      <c r="K842" s="2"/>
      <c r="L842" s="2"/>
      <c r="M842" s="2"/>
      <c r="N842" s="2"/>
      <c r="O842" s="2"/>
      <c r="P842" s="2"/>
      <c r="Q842" s="2"/>
      <c r="R842" s="2"/>
      <c r="S842" s="2"/>
      <c r="T842" s="2"/>
      <c r="U842" s="2"/>
      <c r="V842" s="22"/>
    </row>
    <row r="843" spans="4:22" ht="13.2" x14ac:dyDescent="0.25">
      <c r="D843" s="2"/>
      <c r="E843" s="2"/>
      <c r="F843" s="2"/>
      <c r="G843" s="2"/>
      <c r="H843" s="2"/>
      <c r="I843" s="2"/>
      <c r="J843" s="2"/>
      <c r="K843" s="2"/>
      <c r="L843" s="2"/>
      <c r="M843" s="2"/>
      <c r="N843" s="2"/>
      <c r="O843" s="2"/>
      <c r="P843" s="2"/>
      <c r="Q843" s="2"/>
      <c r="R843" s="2"/>
      <c r="S843" s="2"/>
      <c r="T843" s="2"/>
      <c r="U843" s="2"/>
      <c r="V843" s="22"/>
    </row>
    <row r="844" spans="4:22" ht="13.2" x14ac:dyDescent="0.25">
      <c r="D844" s="2"/>
      <c r="E844" s="2"/>
      <c r="F844" s="2"/>
      <c r="G844" s="2"/>
      <c r="H844" s="2"/>
      <c r="I844" s="2"/>
      <c r="J844" s="2"/>
      <c r="K844" s="2"/>
      <c r="L844" s="2"/>
      <c r="M844" s="2"/>
      <c r="N844" s="2"/>
      <c r="O844" s="2"/>
      <c r="P844" s="2"/>
      <c r="Q844" s="2"/>
      <c r="R844" s="2"/>
      <c r="S844" s="2"/>
      <c r="T844" s="2"/>
      <c r="U844" s="2"/>
      <c r="V844" s="22"/>
    </row>
    <row r="845" spans="4:22" ht="13.2" x14ac:dyDescent="0.25">
      <c r="D845" s="2"/>
      <c r="E845" s="2"/>
      <c r="F845" s="2"/>
      <c r="G845" s="2"/>
      <c r="H845" s="2"/>
      <c r="I845" s="2"/>
      <c r="J845" s="2"/>
      <c r="K845" s="2"/>
      <c r="L845" s="2"/>
      <c r="M845" s="2"/>
      <c r="N845" s="2"/>
      <c r="O845" s="2"/>
      <c r="P845" s="2"/>
      <c r="Q845" s="2"/>
      <c r="R845" s="2"/>
      <c r="S845" s="2"/>
      <c r="T845" s="2"/>
      <c r="U845" s="2"/>
      <c r="V845" s="22"/>
    </row>
    <row r="846" spans="4:22" ht="13.2" x14ac:dyDescent="0.25">
      <c r="D846" s="2"/>
      <c r="E846" s="2"/>
      <c r="F846" s="2"/>
      <c r="G846" s="2"/>
      <c r="H846" s="2"/>
      <c r="I846" s="2"/>
      <c r="J846" s="2"/>
      <c r="K846" s="2"/>
      <c r="L846" s="2"/>
      <c r="M846" s="2"/>
      <c r="N846" s="2"/>
      <c r="O846" s="2"/>
      <c r="P846" s="2"/>
      <c r="Q846" s="2"/>
      <c r="R846" s="2"/>
      <c r="S846" s="2"/>
      <c r="T846" s="2"/>
      <c r="U846" s="2"/>
      <c r="V846" s="22"/>
    </row>
    <row r="847" spans="4:22" ht="13.2" x14ac:dyDescent="0.25">
      <c r="D847" s="2"/>
      <c r="E847" s="2"/>
      <c r="F847" s="2"/>
      <c r="G847" s="2"/>
      <c r="H847" s="2"/>
      <c r="I847" s="2"/>
      <c r="J847" s="2"/>
      <c r="K847" s="2"/>
      <c r="L847" s="2"/>
      <c r="M847" s="2"/>
      <c r="N847" s="2"/>
      <c r="O847" s="2"/>
      <c r="P847" s="2"/>
      <c r="Q847" s="2"/>
      <c r="R847" s="2"/>
      <c r="S847" s="2"/>
      <c r="T847" s="2"/>
      <c r="U847" s="2"/>
      <c r="V847" s="22"/>
    </row>
    <row r="848" spans="4:22" ht="13.2" x14ac:dyDescent="0.25">
      <c r="D848" s="2"/>
      <c r="E848" s="2"/>
      <c r="F848" s="2"/>
      <c r="G848" s="2"/>
      <c r="H848" s="2"/>
      <c r="I848" s="2"/>
      <c r="J848" s="2"/>
      <c r="K848" s="2"/>
      <c r="L848" s="2"/>
      <c r="M848" s="2"/>
      <c r="N848" s="2"/>
      <c r="O848" s="2"/>
      <c r="P848" s="2"/>
      <c r="Q848" s="2"/>
      <c r="R848" s="2"/>
      <c r="S848" s="2"/>
      <c r="T848" s="2"/>
      <c r="U848" s="2"/>
      <c r="V848" s="22"/>
    </row>
    <row r="849" spans="4:22" ht="13.2" x14ac:dyDescent="0.25">
      <c r="D849" s="2"/>
      <c r="E849" s="2"/>
      <c r="F849" s="2"/>
      <c r="G849" s="2"/>
      <c r="H849" s="2"/>
      <c r="I849" s="2"/>
      <c r="J849" s="2"/>
      <c r="K849" s="2"/>
      <c r="L849" s="2"/>
      <c r="M849" s="2"/>
      <c r="N849" s="2"/>
      <c r="O849" s="2"/>
      <c r="P849" s="2"/>
      <c r="Q849" s="2"/>
      <c r="R849" s="2"/>
      <c r="S849" s="2"/>
      <c r="T849" s="2"/>
      <c r="U849" s="2"/>
      <c r="V849" s="22"/>
    </row>
    <row r="850" spans="4:22" ht="13.2" x14ac:dyDescent="0.25">
      <c r="D850" s="2"/>
      <c r="E850" s="2"/>
      <c r="F850" s="2"/>
      <c r="G850" s="2"/>
      <c r="H850" s="2"/>
      <c r="I850" s="2"/>
      <c r="J850" s="2"/>
      <c r="K850" s="2"/>
      <c r="L850" s="2"/>
      <c r="M850" s="2"/>
      <c r="N850" s="2"/>
      <c r="O850" s="2"/>
      <c r="P850" s="2"/>
      <c r="Q850" s="2"/>
      <c r="R850" s="2"/>
      <c r="S850" s="2"/>
      <c r="T850" s="2"/>
      <c r="U850" s="2"/>
      <c r="V850" s="22"/>
    </row>
    <row r="851" spans="4:22" ht="13.2" x14ac:dyDescent="0.25">
      <c r="D851" s="2"/>
      <c r="E851" s="2"/>
      <c r="F851" s="2"/>
      <c r="G851" s="2"/>
      <c r="H851" s="2"/>
      <c r="I851" s="2"/>
      <c r="J851" s="2"/>
      <c r="K851" s="2"/>
      <c r="L851" s="2"/>
      <c r="M851" s="2"/>
      <c r="N851" s="2"/>
      <c r="O851" s="2"/>
      <c r="P851" s="2"/>
      <c r="Q851" s="2"/>
      <c r="R851" s="2"/>
      <c r="S851" s="2"/>
      <c r="T851" s="2"/>
      <c r="U851" s="2"/>
      <c r="V851" s="22"/>
    </row>
    <row r="852" spans="4:22" ht="13.2" x14ac:dyDescent="0.25">
      <c r="D852" s="2"/>
      <c r="E852" s="2"/>
      <c r="F852" s="2"/>
      <c r="G852" s="2"/>
      <c r="H852" s="2"/>
      <c r="I852" s="2"/>
      <c r="J852" s="2"/>
      <c r="K852" s="2"/>
      <c r="L852" s="2"/>
      <c r="M852" s="2"/>
      <c r="N852" s="2"/>
      <c r="O852" s="2"/>
      <c r="P852" s="2"/>
      <c r="Q852" s="2"/>
      <c r="R852" s="2"/>
      <c r="S852" s="2"/>
      <c r="T852" s="2"/>
      <c r="U852" s="2"/>
      <c r="V852" s="22"/>
    </row>
    <row r="853" spans="4:22" ht="13.2" x14ac:dyDescent="0.25">
      <c r="D853" s="2"/>
      <c r="E853" s="2"/>
      <c r="F853" s="2"/>
      <c r="G853" s="2"/>
      <c r="H853" s="2"/>
      <c r="I853" s="2"/>
      <c r="J853" s="2"/>
      <c r="K853" s="2"/>
      <c r="L853" s="2"/>
      <c r="M853" s="2"/>
      <c r="N853" s="2"/>
      <c r="O853" s="2"/>
      <c r="P853" s="2"/>
      <c r="Q853" s="2"/>
      <c r="R853" s="2"/>
      <c r="S853" s="2"/>
      <c r="T853" s="2"/>
      <c r="U853" s="2"/>
      <c r="V853" s="22"/>
    </row>
    <row r="854" spans="4:22" ht="13.2" x14ac:dyDescent="0.25">
      <c r="D854" s="2"/>
      <c r="E854" s="2"/>
      <c r="F854" s="2"/>
      <c r="G854" s="2"/>
      <c r="H854" s="2"/>
      <c r="I854" s="2"/>
      <c r="J854" s="2"/>
      <c r="K854" s="2"/>
      <c r="L854" s="2"/>
      <c r="M854" s="2"/>
      <c r="N854" s="2"/>
      <c r="O854" s="2"/>
      <c r="P854" s="2"/>
      <c r="Q854" s="2"/>
      <c r="R854" s="2"/>
      <c r="S854" s="2"/>
      <c r="T854" s="2"/>
      <c r="U854" s="2"/>
      <c r="V854" s="22"/>
    </row>
    <row r="855" spans="4:22" ht="13.2" x14ac:dyDescent="0.25">
      <c r="D855" s="2"/>
      <c r="E855" s="2"/>
      <c r="F855" s="2"/>
      <c r="G855" s="2"/>
      <c r="H855" s="2"/>
      <c r="I855" s="2"/>
      <c r="J855" s="2"/>
      <c r="K855" s="2"/>
      <c r="L855" s="2"/>
      <c r="M855" s="2"/>
      <c r="N855" s="2"/>
      <c r="O855" s="2"/>
      <c r="P855" s="2"/>
      <c r="Q855" s="2"/>
      <c r="R855" s="2"/>
      <c r="S855" s="2"/>
      <c r="T855" s="2"/>
      <c r="U855" s="2"/>
      <c r="V855" s="22"/>
    </row>
    <row r="856" spans="4:22" ht="13.2" x14ac:dyDescent="0.25">
      <c r="D856" s="2"/>
      <c r="E856" s="2"/>
      <c r="F856" s="2"/>
      <c r="G856" s="2"/>
      <c r="H856" s="2"/>
      <c r="I856" s="2"/>
      <c r="J856" s="2"/>
      <c r="K856" s="2"/>
      <c r="L856" s="2"/>
      <c r="M856" s="2"/>
      <c r="N856" s="2"/>
      <c r="O856" s="2"/>
      <c r="P856" s="2"/>
      <c r="Q856" s="2"/>
      <c r="R856" s="2"/>
      <c r="S856" s="2"/>
      <c r="T856" s="2"/>
      <c r="U856" s="2"/>
      <c r="V856" s="22"/>
    </row>
    <row r="857" spans="4:22" ht="13.2" x14ac:dyDescent="0.25">
      <c r="D857" s="2"/>
      <c r="E857" s="2"/>
      <c r="F857" s="2"/>
      <c r="G857" s="2"/>
      <c r="H857" s="2"/>
      <c r="I857" s="2"/>
      <c r="J857" s="2"/>
      <c r="K857" s="2"/>
      <c r="L857" s="2"/>
      <c r="M857" s="2"/>
      <c r="N857" s="2"/>
      <c r="O857" s="2"/>
      <c r="P857" s="2"/>
      <c r="Q857" s="2"/>
      <c r="R857" s="2"/>
      <c r="S857" s="2"/>
      <c r="T857" s="2"/>
      <c r="U857" s="2"/>
      <c r="V857" s="22"/>
    </row>
    <row r="858" spans="4:22" ht="13.2" x14ac:dyDescent="0.25">
      <c r="D858" s="2"/>
      <c r="E858" s="2"/>
      <c r="F858" s="2"/>
      <c r="G858" s="2"/>
      <c r="H858" s="2"/>
      <c r="I858" s="2"/>
      <c r="J858" s="2"/>
      <c r="K858" s="2"/>
      <c r="L858" s="2"/>
      <c r="M858" s="2"/>
      <c r="N858" s="2"/>
      <c r="O858" s="2"/>
      <c r="P858" s="2"/>
      <c r="Q858" s="2"/>
      <c r="R858" s="2"/>
      <c r="S858" s="2"/>
      <c r="T858" s="2"/>
      <c r="U858" s="2"/>
      <c r="V858" s="22"/>
    </row>
    <row r="859" spans="4:22" ht="13.2" x14ac:dyDescent="0.25">
      <c r="D859" s="2"/>
      <c r="E859" s="2"/>
      <c r="F859" s="2"/>
      <c r="G859" s="2"/>
      <c r="H859" s="2"/>
      <c r="I859" s="2"/>
      <c r="J859" s="2"/>
      <c r="K859" s="2"/>
      <c r="L859" s="2"/>
      <c r="M859" s="2"/>
      <c r="N859" s="2"/>
      <c r="O859" s="2"/>
      <c r="P859" s="2"/>
      <c r="Q859" s="2"/>
      <c r="R859" s="2"/>
      <c r="S859" s="2"/>
      <c r="T859" s="2"/>
      <c r="U859" s="2"/>
      <c r="V859" s="22"/>
    </row>
    <row r="860" spans="4:22" ht="13.2" x14ac:dyDescent="0.25">
      <c r="D860" s="2"/>
      <c r="E860" s="2"/>
      <c r="F860" s="2"/>
      <c r="G860" s="2"/>
      <c r="H860" s="2"/>
      <c r="I860" s="2"/>
      <c r="J860" s="2"/>
      <c r="K860" s="2"/>
      <c r="L860" s="2"/>
      <c r="M860" s="2"/>
      <c r="N860" s="2"/>
      <c r="O860" s="2"/>
      <c r="P860" s="2"/>
      <c r="Q860" s="2"/>
      <c r="R860" s="2"/>
      <c r="S860" s="2"/>
      <c r="T860" s="2"/>
      <c r="U860" s="2"/>
      <c r="V860" s="22"/>
    </row>
    <row r="861" spans="4:22" ht="13.2" x14ac:dyDescent="0.25">
      <c r="D861" s="2"/>
      <c r="E861" s="2"/>
      <c r="F861" s="2"/>
      <c r="G861" s="2"/>
      <c r="H861" s="2"/>
      <c r="I861" s="2"/>
      <c r="J861" s="2"/>
      <c r="K861" s="2"/>
      <c r="L861" s="2"/>
      <c r="M861" s="2"/>
      <c r="N861" s="2"/>
      <c r="O861" s="2"/>
      <c r="P861" s="2"/>
      <c r="Q861" s="2"/>
      <c r="R861" s="2"/>
      <c r="S861" s="2"/>
      <c r="T861" s="2"/>
      <c r="U861" s="2"/>
      <c r="V861" s="22"/>
    </row>
    <row r="862" spans="4:22" ht="13.2" x14ac:dyDescent="0.25">
      <c r="D862" s="2"/>
      <c r="E862" s="2"/>
      <c r="F862" s="2"/>
      <c r="G862" s="2"/>
      <c r="H862" s="2"/>
      <c r="I862" s="2"/>
      <c r="J862" s="2"/>
      <c r="K862" s="2"/>
      <c r="L862" s="2"/>
      <c r="M862" s="2"/>
      <c r="N862" s="2"/>
      <c r="O862" s="2"/>
      <c r="P862" s="2"/>
      <c r="Q862" s="2"/>
      <c r="R862" s="2"/>
      <c r="S862" s="2"/>
      <c r="T862" s="2"/>
      <c r="U862" s="2"/>
      <c r="V862" s="22"/>
    </row>
    <row r="863" spans="4:22" ht="13.2" x14ac:dyDescent="0.25">
      <c r="D863" s="2"/>
      <c r="E863" s="2"/>
      <c r="F863" s="2"/>
      <c r="G863" s="2"/>
      <c r="H863" s="2"/>
      <c r="I863" s="2"/>
      <c r="J863" s="2"/>
      <c r="K863" s="2"/>
      <c r="L863" s="2"/>
      <c r="M863" s="2"/>
      <c r="N863" s="2"/>
      <c r="O863" s="2"/>
      <c r="P863" s="2"/>
      <c r="Q863" s="2"/>
      <c r="R863" s="2"/>
      <c r="S863" s="2"/>
      <c r="T863" s="2"/>
      <c r="U863" s="2"/>
      <c r="V863" s="22"/>
    </row>
    <row r="864" spans="4:22" ht="13.2" x14ac:dyDescent="0.25">
      <c r="D864" s="2"/>
      <c r="E864" s="2"/>
      <c r="F864" s="2"/>
      <c r="G864" s="2"/>
      <c r="H864" s="2"/>
      <c r="I864" s="2"/>
      <c r="J864" s="2"/>
      <c r="K864" s="2"/>
      <c r="L864" s="2"/>
      <c r="M864" s="2"/>
      <c r="N864" s="2"/>
      <c r="O864" s="2"/>
      <c r="P864" s="2"/>
      <c r="Q864" s="2"/>
      <c r="R864" s="2"/>
      <c r="S864" s="2"/>
      <c r="T864" s="2"/>
      <c r="U864" s="2"/>
      <c r="V864" s="22"/>
    </row>
    <row r="865" spans="4:22" ht="13.2" x14ac:dyDescent="0.25">
      <c r="D865" s="2"/>
      <c r="E865" s="2"/>
      <c r="F865" s="2"/>
      <c r="G865" s="2"/>
      <c r="H865" s="2"/>
      <c r="I865" s="2"/>
      <c r="J865" s="2"/>
      <c r="K865" s="2"/>
      <c r="L865" s="2"/>
      <c r="M865" s="2"/>
      <c r="N865" s="2"/>
      <c r="O865" s="2"/>
      <c r="P865" s="2"/>
      <c r="Q865" s="2"/>
      <c r="R865" s="2"/>
      <c r="S865" s="2"/>
      <c r="T865" s="2"/>
      <c r="U865" s="2"/>
      <c r="V865" s="22"/>
    </row>
    <row r="866" spans="4:22" ht="13.2" x14ac:dyDescent="0.25">
      <c r="D866" s="2"/>
      <c r="E866" s="2"/>
      <c r="F866" s="2"/>
      <c r="G866" s="2"/>
      <c r="H866" s="2"/>
      <c r="I866" s="2"/>
      <c r="J866" s="2"/>
      <c r="K866" s="2"/>
      <c r="L866" s="2"/>
      <c r="M866" s="2"/>
      <c r="N866" s="2"/>
      <c r="O866" s="2"/>
      <c r="P866" s="2"/>
      <c r="Q866" s="2"/>
      <c r="R866" s="2"/>
      <c r="S866" s="2"/>
      <c r="T866" s="2"/>
      <c r="U866" s="2"/>
      <c r="V866" s="22"/>
    </row>
    <row r="867" spans="4:22" ht="13.2" x14ac:dyDescent="0.25">
      <c r="D867" s="2"/>
      <c r="E867" s="2"/>
      <c r="F867" s="2"/>
      <c r="G867" s="2"/>
      <c r="H867" s="2"/>
      <c r="I867" s="2"/>
      <c r="J867" s="2"/>
      <c r="K867" s="2"/>
      <c r="L867" s="2"/>
      <c r="M867" s="2"/>
      <c r="N867" s="2"/>
      <c r="O867" s="2"/>
      <c r="P867" s="2"/>
      <c r="Q867" s="2"/>
      <c r="R867" s="2"/>
      <c r="S867" s="2"/>
      <c r="T867" s="2"/>
      <c r="U867" s="2"/>
      <c r="V867" s="22"/>
    </row>
    <row r="868" spans="4:22" ht="13.2" x14ac:dyDescent="0.25">
      <c r="D868" s="2"/>
      <c r="E868" s="2"/>
      <c r="F868" s="2"/>
      <c r="G868" s="2"/>
      <c r="H868" s="2"/>
      <c r="I868" s="2"/>
      <c r="J868" s="2"/>
      <c r="K868" s="2"/>
      <c r="L868" s="2"/>
      <c r="M868" s="2"/>
      <c r="N868" s="2"/>
      <c r="O868" s="2"/>
      <c r="P868" s="2"/>
      <c r="Q868" s="2"/>
      <c r="R868" s="2"/>
      <c r="S868" s="2"/>
      <c r="T868" s="2"/>
      <c r="U868" s="2"/>
      <c r="V868" s="22"/>
    </row>
    <row r="869" spans="4:22" ht="13.2" x14ac:dyDescent="0.25">
      <c r="D869" s="2"/>
      <c r="E869" s="2"/>
      <c r="F869" s="2"/>
      <c r="G869" s="2"/>
      <c r="H869" s="2"/>
      <c r="I869" s="2"/>
      <c r="J869" s="2"/>
      <c r="K869" s="2"/>
      <c r="L869" s="2"/>
      <c r="M869" s="2"/>
      <c r="N869" s="2"/>
      <c r="O869" s="2"/>
      <c r="P869" s="2"/>
      <c r="Q869" s="2"/>
      <c r="R869" s="2"/>
      <c r="S869" s="2"/>
      <c r="T869" s="2"/>
      <c r="U869" s="2"/>
      <c r="V869" s="22"/>
    </row>
    <row r="870" spans="4:22" ht="13.2" x14ac:dyDescent="0.25">
      <c r="D870" s="2"/>
      <c r="E870" s="2"/>
      <c r="F870" s="2"/>
      <c r="G870" s="2"/>
      <c r="H870" s="2"/>
      <c r="I870" s="2"/>
      <c r="J870" s="2"/>
      <c r="K870" s="2"/>
      <c r="L870" s="2"/>
      <c r="M870" s="2"/>
      <c r="N870" s="2"/>
      <c r="O870" s="2"/>
      <c r="P870" s="2"/>
      <c r="Q870" s="2"/>
      <c r="R870" s="2"/>
      <c r="S870" s="2"/>
      <c r="T870" s="2"/>
      <c r="U870" s="2"/>
      <c r="V870" s="22"/>
    </row>
    <row r="871" spans="4:22" ht="13.2" x14ac:dyDescent="0.25">
      <c r="D871" s="2"/>
      <c r="E871" s="2"/>
      <c r="F871" s="2"/>
      <c r="G871" s="2"/>
      <c r="H871" s="2"/>
      <c r="I871" s="2"/>
      <c r="J871" s="2"/>
      <c r="K871" s="2"/>
      <c r="L871" s="2"/>
      <c r="M871" s="2"/>
      <c r="N871" s="2"/>
      <c r="O871" s="2"/>
      <c r="P871" s="2"/>
      <c r="Q871" s="2"/>
      <c r="R871" s="2"/>
      <c r="S871" s="2"/>
      <c r="T871" s="2"/>
      <c r="U871" s="2"/>
      <c r="V871" s="22"/>
    </row>
    <row r="872" spans="4:22" ht="13.2" x14ac:dyDescent="0.25">
      <c r="D872" s="2"/>
      <c r="E872" s="2"/>
      <c r="F872" s="2"/>
      <c r="G872" s="2"/>
      <c r="H872" s="2"/>
      <c r="I872" s="2"/>
      <c r="J872" s="2"/>
      <c r="K872" s="2"/>
      <c r="L872" s="2"/>
      <c r="M872" s="2"/>
      <c r="N872" s="2"/>
      <c r="O872" s="2"/>
      <c r="P872" s="2"/>
      <c r="Q872" s="2"/>
      <c r="R872" s="2"/>
      <c r="S872" s="2"/>
      <c r="T872" s="2"/>
      <c r="U872" s="2"/>
      <c r="V872" s="22"/>
    </row>
    <row r="873" spans="4:22" ht="13.2" x14ac:dyDescent="0.25">
      <c r="D873" s="2"/>
      <c r="E873" s="2"/>
      <c r="F873" s="2"/>
      <c r="G873" s="2"/>
      <c r="H873" s="2"/>
      <c r="I873" s="2"/>
      <c r="J873" s="2"/>
      <c r="K873" s="2"/>
      <c r="L873" s="2"/>
      <c r="M873" s="2"/>
      <c r="N873" s="2"/>
      <c r="O873" s="2"/>
      <c r="P873" s="2"/>
      <c r="Q873" s="2"/>
      <c r="R873" s="2"/>
      <c r="S873" s="2"/>
      <c r="T873" s="2"/>
      <c r="U873" s="2"/>
      <c r="V873" s="22"/>
    </row>
    <row r="874" spans="4:22" ht="13.2" x14ac:dyDescent="0.25">
      <c r="D874" s="2"/>
      <c r="E874" s="2"/>
      <c r="F874" s="2"/>
      <c r="G874" s="2"/>
      <c r="H874" s="2"/>
      <c r="I874" s="2"/>
      <c r="J874" s="2"/>
      <c r="K874" s="2"/>
      <c r="L874" s="2"/>
      <c r="M874" s="2"/>
      <c r="N874" s="2"/>
      <c r="O874" s="2"/>
      <c r="P874" s="2"/>
      <c r="Q874" s="2"/>
      <c r="R874" s="2"/>
      <c r="S874" s="2"/>
      <c r="T874" s="2"/>
      <c r="U874" s="2"/>
      <c r="V874" s="22"/>
    </row>
    <row r="875" spans="4:22" ht="13.2" x14ac:dyDescent="0.25">
      <c r="D875" s="2"/>
      <c r="E875" s="2"/>
      <c r="F875" s="2"/>
      <c r="G875" s="2"/>
      <c r="H875" s="2"/>
      <c r="I875" s="2"/>
      <c r="J875" s="2"/>
      <c r="K875" s="2"/>
      <c r="L875" s="2"/>
      <c r="M875" s="2"/>
      <c r="N875" s="2"/>
      <c r="O875" s="2"/>
      <c r="P875" s="2"/>
      <c r="Q875" s="2"/>
      <c r="R875" s="2"/>
      <c r="S875" s="2"/>
      <c r="T875" s="2"/>
      <c r="U875" s="2"/>
      <c r="V875" s="22"/>
    </row>
    <row r="876" spans="4:22" ht="13.2" x14ac:dyDescent="0.25">
      <c r="D876" s="2"/>
      <c r="E876" s="2"/>
      <c r="F876" s="2"/>
      <c r="G876" s="2"/>
      <c r="H876" s="2"/>
      <c r="I876" s="2"/>
      <c r="J876" s="2"/>
      <c r="K876" s="2"/>
      <c r="L876" s="2"/>
      <c r="M876" s="2"/>
      <c r="N876" s="2"/>
      <c r="O876" s="2"/>
      <c r="P876" s="2"/>
      <c r="Q876" s="2"/>
      <c r="R876" s="2"/>
      <c r="S876" s="2"/>
      <c r="T876" s="2"/>
      <c r="U876" s="2"/>
      <c r="V876" s="22"/>
    </row>
    <row r="877" spans="4:22" ht="13.2" x14ac:dyDescent="0.25">
      <c r="D877" s="2"/>
      <c r="E877" s="2"/>
      <c r="F877" s="2"/>
      <c r="G877" s="2"/>
      <c r="H877" s="2"/>
      <c r="I877" s="2"/>
      <c r="J877" s="2"/>
      <c r="K877" s="2"/>
      <c r="L877" s="2"/>
      <c r="M877" s="2"/>
      <c r="N877" s="2"/>
      <c r="O877" s="2"/>
      <c r="P877" s="2"/>
      <c r="Q877" s="2"/>
      <c r="R877" s="2"/>
      <c r="S877" s="2"/>
      <c r="T877" s="2"/>
      <c r="U877" s="2"/>
      <c r="V877" s="22"/>
    </row>
    <row r="878" spans="4:22" ht="13.2" x14ac:dyDescent="0.25">
      <c r="D878" s="2"/>
      <c r="E878" s="2"/>
      <c r="F878" s="2"/>
      <c r="G878" s="2"/>
      <c r="H878" s="2"/>
      <c r="I878" s="2"/>
      <c r="J878" s="2"/>
      <c r="K878" s="2"/>
      <c r="L878" s="2"/>
      <c r="M878" s="2"/>
      <c r="N878" s="2"/>
      <c r="O878" s="2"/>
      <c r="P878" s="2"/>
      <c r="Q878" s="2"/>
      <c r="R878" s="2"/>
      <c r="S878" s="2"/>
      <c r="T878" s="2"/>
      <c r="U878" s="2"/>
      <c r="V878" s="22"/>
    </row>
    <row r="879" spans="4:22" ht="13.2" x14ac:dyDescent="0.25">
      <c r="D879" s="2"/>
      <c r="E879" s="2"/>
      <c r="F879" s="2"/>
      <c r="G879" s="2"/>
      <c r="H879" s="2"/>
      <c r="I879" s="2"/>
      <c r="J879" s="2"/>
      <c r="K879" s="2"/>
      <c r="L879" s="2"/>
      <c r="M879" s="2"/>
      <c r="N879" s="2"/>
      <c r="O879" s="2"/>
      <c r="P879" s="2"/>
      <c r="Q879" s="2"/>
      <c r="R879" s="2"/>
      <c r="S879" s="2"/>
      <c r="T879" s="2"/>
      <c r="U879" s="2"/>
      <c r="V879" s="22"/>
    </row>
    <row r="880" spans="4:22" ht="13.2" x14ac:dyDescent="0.25">
      <c r="D880" s="2"/>
      <c r="E880" s="2"/>
      <c r="F880" s="2"/>
      <c r="G880" s="2"/>
      <c r="H880" s="2"/>
      <c r="I880" s="2"/>
      <c r="J880" s="2"/>
      <c r="K880" s="2"/>
      <c r="L880" s="2"/>
      <c r="M880" s="2"/>
      <c r="N880" s="2"/>
      <c r="O880" s="2"/>
      <c r="P880" s="2"/>
      <c r="Q880" s="2"/>
      <c r="R880" s="2"/>
      <c r="S880" s="2"/>
      <c r="T880" s="2"/>
      <c r="U880" s="2"/>
      <c r="V880" s="22"/>
    </row>
    <row r="881" spans="4:22" ht="13.2" x14ac:dyDescent="0.25">
      <c r="D881" s="2"/>
      <c r="E881" s="2"/>
      <c r="F881" s="2"/>
      <c r="G881" s="2"/>
      <c r="H881" s="2"/>
      <c r="I881" s="2"/>
      <c r="J881" s="2"/>
      <c r="K881" s="2"/>
      <c r="L881" s="2"/>
      <c r="M881" s="2"/>
      <c r="N881" s="2"/>
      <c r="O881" s="2"/>
      <c r="P881" s="2"/>
      <c r="Q881" s="2"/>
      <c r="R881" s="2"/>
      <c r="S881" s="2"/>
      <c r="T881" s="2"/>
      <c r="U881" s="2"/>
      <c r="V881" s="22"/>
    </row>
    <row r="882" spans="4:22" ht="13.2" x14ac:dyDescent="0.25">
      <c r="D882" s="2"/>
      <c r="E882" s="2"/>
      <c r="F882" s="2"/>
      <c r="G882" s="2"/>
      <c r="H882" s="2"/>
      <c r="I882" s="2"/>
      <c r="J882" s="2"/>
      <c r="K882" s="2"/>
      <c r="L882" s="2"/>
      <c r="M882" s="2"/>
      <c r="N882" s="2"/>
      <c r="O882" s="2"/>
      <c r="P882" s="2"/>
      <c r="Q882" s="2"/>
      <c r="R882" s="2"/>
      <c r="S882" s="2"/>
      <c r="T882" s="2"/>
      <c r="U882" s="2"/>
      <c r="V882" s="22"/>
    </row>
    <row r="883" spans="4:22" ht="13.2" x14ac:dyDescent="0.25">
      <c r="D883" s="2"/>
      <c r="E883" s="2"/>
      <c r="F883" s="2"/>
      <c r="G883" s="2"/>
      <c r="H883" s="2"/>
      <c r="I883" s="2"/>
      <c r="J883" s="2"/>
      <c r="K883" s="2"/>
      <c r="L883" s="2"/>
      <c r="M883" s="2"/>
      <c r="N883" s="2"/>
      <c r="O883" s="2"/>
      <c r="P883" s="2"/>
      <c r="Q883" s="2"/>
      <c r="R883" s="2"/>
      <c r="S883" s="2"/>
      <c r="T883" s="2"/>
      <c r="U883" s="2"/>
      <c r="V883" s="22"/>
    </row>
    <row r="884" spans="4:22" ht="13.2" x14ac:dyDescent="0.25">
      <c r="D884" s="2"/>
      <c r="E884" s="2"/>
      <c r="F884" s="2"/>
      <c r="G884" s="2"/>
      <c r="H884" s="2"/>
      <c r="I884" s="2"/>
      <c r="J884" s="2"/>
      <c r="K884" s="2"/>
      <c r="L884" s="2"/>
      <c r="M884" s="2"/>
      <c r="N884" s="2"/>
      <c r="O884" s="2"/>
      <c r="P884" s="2"/>
      <c r="Q884" s="2"/>
      <c r="R884" s="2"/>
      <c r="S884" s="2"/>
      <c r="T884" s="2"/>
      <c r="U884" s="2"/>
      <c r="V884" s="22"/>
    </row>
    <row r="885" spans="4:22" ht="13.2" x14ac:dyDescent="0.25">
      <c r="D885" s="2"/>
      <c r="E885" s="2"/>
      <c r="F885" s="2"/>
      <c r="G885" s="2"/>
      <c r="H885" s="2"/>
      <c r="I885" s="2"/>
      <c r="J885" s="2"/>
      <c r="K885" s="2"/>
      <c r="L885" s="2"/>
      <c r="M885" s="2"/>
      <c r="N885" s="2"/>
      <c r="O885" s="2"/>
      <c r="P885" s="2"/>
      <c r="Q885" s="2"/>
      <c r="R885" s="2"/>
      <c r="S885" s="2"/>
      <c r="T885" s="2"/>
      <c r="U885" s="2"/>
      <c r="V885" s="22"/>
    </row>
    <row r="886" spans="4:22" ht="13.2" x14ac:dyDescent="0.25">
      <c r="D886" s="2"/>
      <c r="E886" s="2"/>
      <c r="F886" s="2"/>
      <c r="G886" s="2"/>
      <c r="H886" s="2"/>
      <c r="I886" s="2"/>
      <c r="J886" s="2"/>
      <c r="K886" s="2"/>
      <c r="L886" s="2"/>
      <c r="M886" s="2"/>
      <c r="N886" s="2"/>
      <c r="O886" s="2"/>
      <c r="P886" s="2"/>
      <c r="Q886" s="2"/>
      <c r="R886" s="2"/>
      <c r="S886" s="2"/>
      <c r="T886" s="2"/>
      <c r="U886" s="2"/>
      <c r="V886" s="22"/>
    </row>
    <row r="887" spans="4:22" ht="13.2" x14ac:dyDescent="0.25">
      <c r="D887" s="2"/>
      <c r="E887" s="2"/>
      <c r="F887" s="2"/>
      <c r="G887" s="2"/>
      <c r="H887" s="2"/>
      <c r="I887" s="2"/>
      <c r="J887" s="2"/>
      <c r="K887" s="2"/>
      <c r="L887" s="2"/>
      <c r="M887" s="2"/>
      <c r="N887" s="2"/>
      <c r="O887" s="2"/>
      <c r="P887" s="2"/>
      <c r="Q887" s="2"/>
      <c r="R887" s="2"/>
      <c r="S887" s="2"/>
      <c r="T887" s="2"/>
      <c r="U887" s="2"/>
      <c r="V887" s="22"/>
    </row>
    <row r="888" spans="4:22" ht="13.2" x14ac:dyDescent="0.25">
      <c r="D888" s="2"/>
      <c r="E888" s="2"/>
      <c r="F888" s="2"/>
      <c r="G888" s="2"/>
      <c r="H888" s="2"/>
      <c r="I888" s="2"/>
      <c r="J888" s="2"/>
      <c r="K888" s="2"/>
      <c r="L888" s="2"/>
      <c r="M888" s="2"/>
      <c r="N888" s="2"/>
      <c r="O888" s="2"/>
      <c r="P888" s="2"/>
      <c r="Q888" s="2"/>
      <c r="R888" s="2"/>
      <c r="S888" s="2"/>
      <c r="T888" s="2"/>
      <c r="U888" s="2"/>
      <c r="V888" s="22"/>
    </row>
    <row r="889" spans="4:22" ht="13.2" x14ac:dyDescent="0.25">
      <c r="D889" s="2"/>
      <c r="E889" s="2"/>
      <c r="F889" s="2"/>
      <c r="G889" s="2"/>
      <c r="H889" s="2"/>
      <c r="I889" s="2"/>
      <c r="J889" s="2"/>
      <c r="K889" s="2"/>
      <c r="L889" s="2"/>
      <c r="M889" s="2"/>
      <c r="N889" s="2"/>
      <c r="O889" s="2"/>
      <c r="P889" s="2"/>
      <c r="Q889" s="2"/>
      <c r="R889" s="2"/>
      <c r="S889" s="2"/>
      <c r="T889" s="2"/>
      <c r="U889" s="2"/>
      <c r="V889" s="22"/>
    </row>
    <row r="890" spans="4:22" ht="13.2" x14ac:dyDescent="0.25">
      <c r="D890" s="2"/>
      <c r="E890" s="2"/>
      <c r="F890" s="2"/>
      <c r="G890" s="2"/>
      <c r="H890" s="2"/>
      <c r="I890" s="2"/>
      <c r="J890" s="2"/>
      <c r="K890" s="2"/>
      <c r="L890" s="2"/>
      <c r="M890" s="2"/>
      <c r="N890" s="2"/>
      <c r="O890" s="2"/>
      <c r="P890" s="2"/>
      <c r="Q890" s="2"/>
      <c r="R890" s="2"/>
      <c r="S890" s="2"/>
      <c r="T890" s="2"/>
      <c r="U890" s="2"/>
      <c r="V890" s="22"/>
    </row>
    <row r="891" spans="4:22" ht="13.2" x14ac:dyDescent="0.25">
      <c r="D891" s="2"/>
      <c r="E891" s="2"/>
      <c r="F891" s="2"/>
      <c r="G891" s="2"/>
      <c r="H891" s="2"/>
      <c r="I891" s="2"/>
      <c r="J891" s="2"/>
      <c r="K891" s="2"/>
      <c r="L891" s="2"/>
      <c r="M891" s="2"/>
      <c r="N891" s="2"/>
      <c r="O891" s="2"/>
      <c r="P891" s="2"/>
      <c r="Q891" s="2"/>
      <c r="R891" s="2"/>
      <c r="S891" s="2"/>
      <c r="T891" s="2"/>
      <c r="U891" s="2"/>
      <c r="V891" s="22"/>
    </row>
    <row r="892" spans="4:22" ht="13.2" x14ac:dyDescent="0.25">
      <c r="D892" s="2"/>
      <c r="E892" s="2"/>
      <c r="F892" s="2"/>
      <c r="G892" s="2"/>
      <c r="H892" s="2"/>
      <c r="I892" s="2"/>
      <c r="J892" s="2"/>
      <c r="K892" s="2"/>
      <c r="L892" s="2"/>
      <c r="M892" s="2"/>
      <c r="N892" s="2"/>
      <c r="O892" s="2"/>
      <c r="P892" s="2"/>
      <c r="Q892" s="2"/>
      <c r="R892" s="2"/>
      <c r="S892" s="2"/>
      <c r="T892" s="2"/>
      <c r="U892" s="2"/>
      <c r="V892" s="22"/>
    </row>
    <row r="893" spans="4:22" ht="13.2" x14ac:dyDescent="0.25">
      <c r="D893" s="2"/>
      <c r="E893" s="2"/>
      <c r="F893" s="2"/>
      <c r="G893" s="2"/>
      <c r="H893" s="2"/>
      <c r="I893" s="2"/>
      <c r="J893" s="2"/>
      <c r="K893" s="2"/>
      <c r="L893" s="2"/>
      <c r="M893" s="2"/>
      <c r="N893" s="2"/>
      <c r="O893" s="2"/>
      <c r="P893" s="2"/>
      <c r="Q893" s="2"/>
      <c r="R893" s="2"/>
      <c r="S893" s="2"/>
      <c r="T893" s="2"/>
      <c r="U893" s="2"/>
      <c r="V893" s="22"/>
    </row>
    <row r="894" spans="4:22" ht="13.2" x14ac:dyDescent="0.25">
      <c r="D894" s="2"/>
      <c r="E894" s="2"/>
      <c r="F894" s="2"/>
      <c r="G894" s="2"/>
      <c r="H894" s="2"/>
      <c r="I894" s="2"/>
      <c r="J894" s="2"/>
      <c r="K894" s="2"/>
      <c r="L894" s="2"/>
      <c r="M894" s="2"/>
      <c r="N894" s="2"/>
      <c r="O894" s="2"/>
      <c r="P894" s="2"/>
      <c r="Q894" s="2"/>
      <c r="R894" s="2"/>
      <c r="S894" s="2"/>
      <c r="T894" s="2"/>
      <c r="U894" s="2"/>
      <c r="V894" s="22"/>
    </row>
    <row r="895" spans="4:22" ht="13.2" x14ac:dyDescent="0.25">
      <c r="D895" s="2"/>
      <c r="E895" s="2"/>
      <c r="F895" s="2"/>
      <c r="G895" s="2"/>
      <c r="H895" s="2"/>
      <c r="I895" s="2"/>
      <c r="J895" s="2"/>
      <c r="K895" s="2"/>
      <c r="L895" s="2"/>
      <c r="M895" s="2"/>
      <c r="N895" s="2"/>
      <c r="O895" s="2"/>
      <c r="P895" s="2"/>
      <c r="Q895" s="2"/>
      <c r="R895" s="2"/>
      <c r="S895" s="2"/>
      <c r="T895" s="2"/>
      <c r="U895" s="2"/>
      <c r="V895" s="22"/>
    </row>
    <row r="896" spans="4:22" ht="13.2" x14ac:dyDescent="0.25">
      <c r="D896" s="2"/>
      <c r="E896" s="2"/>
      <c r="F896" s="2"/>
      <c r="G896" s="2"/>
      <c r="H896" s="2"/>
      <c r="I896" s="2"/>
      <c r="J896" s="2"/>
      <c r="K896" s="2"/>
      <c r="L896" s="2"/>
      <c r="M896" s="2"/>
      <c r="N896" s="2"/>
      <c r="O896" s="2"/>
      <c r="P896" s="2"/>
      <c r="Q896" s="2"/>
      <c r="R896" s="2"/>
      <c r="S896" s="2"/>
      <c r="T896" s="2"/>
      <c r="U896" s="2"/>
      <c r="V896" s="22"/>
    </row>
    <row r="897" spans="4:22" ht="13.2" x14ac:dyDescent="0.25">
      <c r="D897" s="2"/>
      <c r="E897" s="2"/>
      <c r="F897" s="2"/>
      <c r="G897" s="2"/>
      <c r="H897" s="2"/>
      <c r="I897" s="2"/>
      <c r="J897" s="2"/>
      <c r="K897" s="2"/>
      <c r="L897" s="2"/>
      <c r="M897" s="2"/>
      <c r="N897" s="2"/>
      <c r="O897" s="2"/>
      <c r="P897" s="2"/>
      <c r="Q897" s="2"/>
      <c r="R897" s="2"/>
      <c r="S897" s="2"/>
      <c r="T897" s="2"/>
      <c r="U897" s="2"/>
      <c r="V897" s="22"/>
    </row>
    <row r="898" spans="4:22" ht="13.2" x14ac:dyDescent="0.25">
      <c r="D898" s="2"/>
      <c r="E898" s="2"/>
      <c r="F898" s="2"/>
      <c r="G898" s="2"/>
      <c r="H898" s="2"/>
      <c r="I898" s="2"/>
      <c r="J898" s="2"/>
      <c r="K898" s="2"/>
      <c r="L898" s="2"/>
      <c r="M898" s="2"/>
      <c r="N898" s="2"/>
      <c r="O898" s="2"/>
      <c r="P898" s="2"/>
      <c r="Q898" s="2"/>
      <c r="R898" s="2"/>
      <c r="S898" s="2"/>
      <c r="T898" s="2"/>
      <c r="U898" s="2"/>
      <c r="V898" s="22"/>
    </row>
    <row r="899" spans="4:22" ht="13.2" x14ac:dyDescent="0.25">
      <c r="D899" s="2"/>
      <c r="E899" s="2"/>
      <c r="F899" s="2"/>
      <c r="G899" s="2"/>
      <c r="H899" s="2"/>
      <c r="I899" s="2"/>
      <c r="J899" s="2"/>
      <c r="K899" s="2"/>
      <c r="L899" s="2"/>
      <c r="M899" s="2"/>
      <c r="N899" s="2"/>
      <c r="O899" s="2"/>
      <c r="P899" s="2"/>
      <c r="Q899" s="2"/>
      <c r="R899" s="2"/>
      <c r="S899" s="2"/>
      <c r="T899" s="2"/>
      <c r="U899" s="2"/>
      <c r="V899" s="22"/>
    </row>
    <row r="900" spans="4:22" ht="13.2" x14ac:dyDescent="0.25">
      <c r="D900" s="2"/>
      <c r="E900" s="2"/>
      <c r="F900" s="2"/>
      <c r="G900" s="2"/>
      <c r="H900" s="2"/>
      <c r="I900" s="2"/>
      <c r="J900" s="2"/>
      <c r="K900" s="2"/>
      <c r="L900" s="2"/>
      <c r="M900" s="2"/>
      <c r="N900" s="2"/>
      <c r="O900" s="2"/>
      <c r="P900" s="2"/>
      <c r="Q900" s="2"/>
      <c r="R900" s="2"/>
      <c r="S900" s="2"/>
      <c r="T900" s="2"/>
      <c r="U900" s="2"/>
      <c r="V900" s="22"/>
    </row>
    <row r="901" spans="4:22" ht="13.2" x14ac:dyDescent="0.25">
      <c r="D901" s="2"/>
      <c r="E901" s="2"/>
      <c r="F901" s="2"/>
      <c r="G901" s="2"/>
      <c r="H901" s="2"/>
      <c r="I901" s="2"/>
      <c r="J901" s="2"/>
      <c r="K901" s="2"/>
      <c r="L901" s="2"/>
      <c r="M901" s="2"/>
      <c r="N901" s="2"/>
      <c r="O901" s="2"/>
      <c r="P901" s="2"/>
      <c r="Q901" s="2"/>
      <c r="R901" s="2"/>
      <c r="S901" s="2"/>
      <c r="T901" s="2"/>
      <c r="U901" s="2"/>
      <c r="V901" s="22"/>
    </row>
    <row r="902" spans="4:22" ht="13.2" x14ac:dyDescent="0.25">
      <c r="D902" s="2"/>
      <c r="E902" s="2"/>
      <c r="F902" s="2"/>
      <c r="G902" s="2"/>
      <c r="H902" s="2"/>
      <c r="I902" s="2"/>
      <c r="J902" s="2"/>
      <c r="K902" s="2"/>
      <c r="L902" s="2"/>
      <c r="M902" s="2"/>
      <c r="N902" s="2"/>
      <c r="O902" s="2"/>
      <c r="P902" s="2"/>
      <c r="Q902" s="2"/>
      <c r="R902" s="2"/>
      <c r="S902" s="2"/>
      <c r="T902" s="2"/>
      <c r="U902" s="2"/>
      <c r="V902" s="22"/>
    </row>
    <row r="903" spans="4:22" ht="13.2" x14ac:dyDescent="0.25">
      <c r="D903" s="2"/>
      <c r="E903" s="2"/>
      <c r="F903" s="2"/>
      <c r="G903" s="2"/>
      <c r="H903" s="2"/>
      <c r="I903" s="2"/>
      <c r="J903" s="2"/>
      <c r="K903" s="2"/>
      <c r="L903" s="2"/>
      <c r="M903" s="2"/>
      <c r="N903" s="2"/>
      <c r="O903" s="2"/>
      <c r="P903" s="2"/>
      <c r="Q903" s="2"/>
      <c r="R903" s="2"/>
      <c r="S903" s="2"/>
      <c r="T903" s="2"/>
      <c r="U903" s="2"/>
      <c r="V903" s="22"/>
    </row>
    <row r="904" spans="4:22" ht="13.2" x14ac:dyDescent="0.25">
      <c r="D904" s="2"/>
      <c r="E904" s="2"/>
      <c r="F904" s="2"/>
      <c r="G904" s="2"/>
      <c r="H904" s="2"/>
      <c r="I904" s="2"/>
      <c r="J904" s="2"/>
      <c r="K904" s="2"/>
      <c r="L904" s="2"/>
      <c r="M904" s="2"/>
      <c r="N904" s="2"/>
      <c r="O904" s="2"/>
      <c r="P904" s="2"/>
      <c r="Q904" s="2"/>
      <c r="R904" s="2"/>
      <c r="S904" s="2"/>
      <c r="T904" s="2"/>
      <c r="U904" s="2"/>
      <c r="V904" s="22"/>
    </row>
    <row r="905" spans="4:22" ht="13.2" x14ac:dyDescent="0.25">
      <c r="D905" s="2"/>
      <c r="E905" s="2"/>
      <c r="F905" s="2"/>
      <c r="G905" s="2"/>
      <c r="H905" s="2"/>
      <c r="I905" s="2"/>
      <c r="J905" s="2"/>
      <c r="K905" s="2"/>
      <c r="L905" s="2"/>
      <c r="M905" s="2"/>
      <c r="N905" s="2"/>
      <c r="O905" s="2"/>
      <c r="P905" s="2"/>
      <c r="Q905" s="2"/>
      <c r="R905" s="2"/>
      <c r="S905" s="2"/>
      <c r="T905" s="2"/>
      <c r="U905" s="2"/>
      <c r="V905" s="22"/>
    </row>
    <row r="906" spans="4:22" ht="13.2" x14ac:dyDescent="0.25">
      <c r="D906" s="2"/>
      <c r="E906" s="2"/>
      <c r="F906" s="2"/>
      <c r="G906" s="2"/>
      <c r="H906" s="2"/>
      <c r="I906" s="2"/>
      <c r="J906" s="2"/>
      <c r="K906" s="2"/>
      <c r="L906" s="2"/>
      <c r="M906" s="2"/>
      <c r="N906" s="2"/>
      <c r="O906" s="2"/>
      <c r="P906" s="2"/>
      <c r="Q906" s="2"/>
      <c r="R906" s="2"/>
      <c r="S906" s="2"/>
      <c r="T906" s="2"/>
      <c r="U906" s="2"/>
      <c r="V906" s="22"/>
    </row>
    <row r="907" spans="4:22" ht="13.2" x14ac:dyDescent="0.25">
      <c r="D907" s="2"/>
      <c r="E907" s="2"/>
      <c r="F907" s="2"/>
      <c r="G907" s="2"/>
      <c r="H907" s="2"/>
      <c r="I907" s="2"/>
      <c r="J907" s="2"/>
      <c r="K907" s="2"/>
      <c r="L907" s="2"/>
      <c r="M907" s="2"/>
      <c r="N907" s="2"/>
      <c r="O907" s="2"/>
      <c r="P907" s="2"/>
      <c r="Q907" s="2"/>
      <c r="R907" s="2"/>
      <c r="S907" s="2"/>
      <c r="T907" s="2"/>
      <c r="U907" s="2"/>
      <c r="V907" s="22"/>
    </row>
    <row r="908" spans="4:22" ht="13.2" x14ac:dyDescent="0.25">
      <c r="D908" s="2"/>
      <c r="E908" s="2"/>
      <c r="F908" s="2"/>
      <c r="G908" s="2"/>
      <c r="H908" s="2"/>
      <c r="I908" s="2"/>
      <c r="J908" s="2"/>
      <c r="K908" s="2"/>
      <c r="L908" s="2"/>
      <c r="M908" s="2"/>
      <c r="N908" s="2"/>
      <c r="O908" s="2"/>
      <c r="P908" s="2"/>
      <c r="Q908" s="2"/>
      <c r="R908" s="2"/>
      <c r="S908" s="2"/>
      <c r="T908" s="2"/>
      <c r="U908" s="2"/>
      <c r="V908" s="22"/>
    </row>
    <row r="909" spans="4:22" ht="13.2" x14ac:dyDescent="0.25">
      <c r="D909" s="2"/>
      <c r="E909" s="2"/>
      <c r="F909" s="2"/>
      <c r="G909" s="2"/>
      <c r="H909" s="2"/>
      <c r="I909" s="2"/>
      <c r="J909" s="2"/>
      <c r="K909" s="2"/>
      <c r="L909" s="2"/>
      <c r="M909" s="2"/>
      <c r="N909" s="2"/>
      <c r="O909" s="2"/>
      <c r="P909" s="2"/>
      <c r="Q909" s="2"/>
      <c r="R909" s="2"/>
      <c r="S909" s="2"/>
      <c r="T909" s="2"/>
      <c r="U909" s="2"/>
      <c r="V909" s="22"/>
    </row>
    <row r="910" spans="4:22" ht="13.2" x14ac:dyDescent="0.25">
      <c r="D910" s="2"/>
      <c r="E910" s="2"/>
      <c r="F910" s="2"/>
      <c r="G910" s="2"/>
      <c r="H910" s="2"/>
      <c r="I910" s="2"/>
      <c r="J910" s="2"/>
      <c r="K910" s="2"/>
      <c r="L910" s="2"/>
      <c r="M910" s="2"/>
      <c r="N910" s="2"/>
      <c r="O910" s="2"/>
      <c r="P910" s="2"/>
      <c r="Q910" s="2"/>
      <c r="R910" s="2"/>
      <c r="S910" s="2"/>
      <c r="T910" s="2"/>
      <c r="U910" s="2"/>
      <c r="V910" s="22"/>
    </row>
    <row r="911" spans="4:22" ht="13.2" x14ac:dyDescent="0.25">
      <c r="D911" s="2"/>
      <c r="E911" s="2"/>
      <c r="F911" s="2"/>
      <c r="G911" s="2"/>
      <c r="H911" s="2"/>
      <c r="I911" s="2"/>
      <c r="J911" s="2"/>
      <c r="K911" s="2"/>
      <c r="L911" s="2"/>
      <c r="M911" s="2"/>
      <c r="N911" s="2"/>
      <c r="O911" s="2"/>
      <c r="P911" s="2"/>
      <c r="Q911" s="2"/>
      <c r="R911" s="2"/>
      <c r="S911" s="2"/>
      <c r="T911" s="2"/>
      <c r="U911" s="2"/>
      <c r="V911" s="22"/>
    </row>
    <row r="912" spans="4:22" ht="13.2" x14ac:dyDescent="0.25">
      <c r="D912" s="2"/>
      <c r="E912" s="2"/>
      <c r="F912" s="2"/>
      <c r="G912" s="2"/>
      <c r="H912" s="2"/>
      <c r="I912" s="2"/>
      <c r="J912" s="2"/>
      <c r="K912" s="2"/>
      <c r="L912" s="2"/>
      <c r="M912" s="2"/>
      <c r="N912" s="2"/>
      <c r="O912" s="2"/>
      <c r="P912" s="2"/>
      <c r="Q912" s="2"/>
      <c r="R912" s="2"/>
      <c r="S912" s="2"/>
      <c r="T912" s="2"/>
      <c r="U912" s="2"/>
      <c r="V912" s="22"/>
    </row>
    <row r="913" spans="4:22" ht="13.2" x14ac:dyDescent="0.25">
      <c r="D913" s="2"/>
      <c r="E913" s="2"/>
      <c r="F913" s="2"/>
      <c r="G913" s="2"/>
      <c r="H913" s="2"/>
      <c r="I913" s="2"/>
      <c r="J913" s="2"/>
      <c r="K913" s="2"/>
      <c r="L913" s="2"/>
      <c r="M913" s="2"/>
      <c r="N913" s="2"/>
      <c r="O913" s="2"/>
      <c r="P913" s="2"/>
      <c r="Q913" s="2"/>
      <c r="R913" s="2"/>
      <c r="S913" s="2"/>
      <c r="T913" s="2"/>
      <c r="U913" s="2"/>
      <c r="V913" s="22"/>
    </row>
    <row r="914" spans="4:22" ht="13.2" x14ac:dyDescent="0.25">
      <c r="D914" s="2"/>
      <c r="E914" s="2"/>
      <c r="F914" s="2"/>
      <c r="G914" s="2"/>
      <c r="H914" s="2"/>
      <c r="I914" s="2"/>
      <c r="J914" s="2"/>
      <c r="K914" s="2"/>
      <c r="L914" s="2"/>
      <c r="M914" s="2"/>
      <c r="N914" s="2"/>
      <c r="O914" s="2"/>
      <c r="P914" s="2"/>
      <c r="Q914" s="2"/>
      <c r="R914" s="2"/>
      <c r="S914" s="2"/>
      <c r="T914" s="2"/>
      <c r="U914" s="2"/>
      <c r="V914" s="22"/>
    </row>
    <row r="915" spans="4:22" ht="13.2" x14ac:dyDescent="0.25">
      <c r="D915" s="2"/>
      <c r="E915" s="2"/>
      <c r="F915" s="2"/>
      <c r="G915" s="2"/>
      <c r="H915" s="2"/>
      <c r="I915" s="2"/>
      <c r="J915" s="2"/>
      <c r="K915" s="2"/>
      <c r="L915" s="2"/>
      <c r="M915" s="2"/>
      <c r="N915" s="2"/>
      <c r="O915" s="2"/>
      <c r="P915" s="2"/>
      <c r="Q915" s="2"/>
      <c r="R915" s="2"/>
      <c r="S915" s="2"/>
      <c r="T915" s="2"/>
      <c r="U915" s="2"/>
      <c r="V915" s="22"/>
    </row>
    <row r="916" spans="4:22" ht="13.2" x14ac:dyDescent="0.25">
      <c r="D916" s="2"/>
      <c r="E916" s="2"/>
      <c r="F916" s="2"/>
      <c r="G916" s="2"/>
      <c r="H916" s="2"/>
      <c r="I916" s="2"/>
      <c r="J916" s="2"/>
      <c r="K916" s="2"/>
      <c r="L916" s="2"/>
      <c r="M916" s="2"/>
      <c r="N916" s="2"/>
      <c r="O916" s="2"/>
      <c r="P916" s="2"/>
      <c r="Q916" s="2"/>
      <c r="R916" s="2"/>
      <c r="S916" s="2"/>
      <c r="T916" s="2"/>
      <c r="U916" s="2"/>
      <c r="V916" s="22"/>
    </row>
    <row r="917" spans="4:22" ht="13.2" x14ac:dyDescent="0.25">
      <c r="D917" s="2"/>
      <c r="E917" s="2"/>
      <c r="F917" s="2"/>
      <c r="G917" s="2"/>
      <c r="H917" s="2"/>
      <c r="I917" s="2"/>
      <c r="J917" s="2"/>
      <c r="K917" s="2"/>
      <c r="L917" s="2"/>
      <c r="M917" s="2"/>
      <c r="N917" s="2"/>
      <c r="O917" s="2"/>
      <c r="P917" s="2"/>
      <c r="Q917" s="2"/>
      <c r="R917" s="2"/>
      <c r="S917" s="2"/>
      <c r="T917" s="2"/>
      <c r="U917" s="2"/>
      <c r="V917" s="22"/>
    </row>
    <row r="918" spans="4:22" ht="13.2" x14ac:dyDescent="0.25">
      <c r="D918" s="2"/>
      <c r="E918" s="2"/>
      <c r="F918" s="2"/>
      <c r="G918" s="2"/>
      <c r="H918" s="2"/>
      <c r="I918" s="2"/>
      <c r="J918" s="2"/>
      <c r="K918" s="2"/>
      <c r="L918" s="2"/>
      <c r="M918" s="2"/>
      <c r="N918" s="2"/>
      <c r="O918" s="2"/>
      <c r="P918" s="2"/>
      <c r="Q918" s="2"/>
      <c r="R918" s="2"/>
      <c r="S918" s="2"/>
      <c r="T918" s="2"/>
      <c r="U918" s="2"/>
      <c r="V918" s="22"/>
    </row>
    <row r="919" spans="4:22" ht="13.2" x14ac:dyDescent="0.25">
      <c r="D919" s="2"/>
      <c r="E919" s="2"/>
      <c r="F919" s="2"/>
      <c r="G919" s="2"/>
      <c r="H919" s="2"/>
      <c r="I919" s="2"/>
      <c r="J919" s="2"/>
      <c r="K919" s="2"/>
      <c r="L919" s="2"/>
      <c r="M919" s="2"/>
      <c r="N919" s="2"/>
      <c r="O919" s="2"/>
      <c r="P919" s="2"/>
      <c r="Q919" s="2"/>
      <c r="R919" s="2"/>
      <c r="S919" s="2"/>
      <c r="T919" s="2"/>
      <c r="U919" s="2"/>
      <c r="V919" s="22"/>
    </row>
    <row r="920" spans="4:22" ht="13.2" x14ac:dyDescent="0.25">
      <c r="D920" s="2"/>
      <c r="E920" s="2"/>
      <c r="F920" s="2"/>
      <c r="G920" s="2"/>
      <c r="H920" s="2"/>
      <c r="I920" s="2"/>
      <c r="J920" s="2"/>
      <c r="K920" s="2"/>
      <c r="L920" s="2"/>
      <c r="M920" s="2"/>
      <c r="N920" s="2"/>
      <c r="O920" s="2"/>
      <c r="P920" s="2"/>
      <c r="Q920" s="2"/>
      <c r="R920" s="2"/>
      <c r="S920" s="2"/>
      <c r="T920" s="2"/>
      <c r="U920" s="2"/>
      <c r="V920" s="22"/>
    </row>
    <row r="921" spans="4:22" ht="13.2" x14ac:dyDescent="0.25">
      <c r="D921" s="2"/>
      <c r="E921" s="2"/>
      <c r="F921" s="2"/>
      <c r="G921" s="2"/>
      <c r="H921" s="2"/>
      <c r="I921" s="2"/>
      <c r="J921" s="2"/>
      <c r="K921" s="2"/>
      <c r="L921" s="2"/>
      <c r="M921" s="2"/>
      <c r="N921" s="2"/>
      <c r="O921" s="2"/>
      <c r="P921" s="2"/>
      <c r="Q921" s="2"/>
      <c r="R921" s="2"/>
      <c r="S921" s="2"/>
      <c r="T921" s="2"/>
      <c r="U921" s="2"/>
      <c r="V921" s="22"/>
    </row>
    <row r="922" spans="4:22" ht="13.2" x14ac:dyDescent="0.25">
      <c r="D922" s="2"/>
      <c r="E922" s="2"/>
      <c r="F922" s="2"/>
      <c r="G922" s="2"/>
      <c r="H922" s="2"/>
      <c r="I922" s="2"/>
      <c r="J922" s="2"/>
      <c r="K922" s="2"/>
      <c r="L922" s="2"/>
      <c r="M922" s="2"/>
      <c r="N922" s="2"/>
      <c r="O922" s="2"/>
      <c r="P922" s="2"/>
      <c r="Q922" s="2"/>
      <c r="R922" s="2"/>
      <c r="S922" s="2"/>
      <c r="T922" s="2"/>
      <c r="U922" s="2"/>
      <c r="V922" s="22"/>
    </row>
    <row r="923" spans="4:22" ht="13.2" x14ac:dyDescent="0.25">
      <c r="D923" s="2"/>
      <c r="E923" s="2"/>
      <c r="F923" s="2"/>
      <c r="G923" s="2"/>
      <c r="H923" s="2"/>
      <c r="I923" s="2"/>
      <c r="J923" s="2"/>
      <c r="K923" s="2"/>
      <c r="L923" s="2"/>
      <c r="M923" s="2"/>
      <c r="N923" s="2"/>
      <c r="O923" s="2"/>
      <c r="P923" s="2"/>
      <c r="Q923" s="2"/>
      <c r="R923" s="2"/>
      <c r="S923" s="2"/>
      <c r="T923" s="2"/>
      <c r="U923" s="2"/>
      <c r="V923" s="22"/>
    </row>
    <row r="924" spans="4:22" ht="13.2" x14ac:dyDescent="0.25">
      <c r="D924" s="2"/>
      <c r="E924" s="2"/>
      <c r="F924" s="2"/>
      <c r="G924" s="2"/>
      <c r="H924" s="2"/>
      <c r="I924" s="2"/>
      <c r="J924" s="2"/>
      <c r="K924" s="2"/>
      <c r="L924" s="2"/>
      <c r="M924" s="2"/>
      <c r="N924" s="2"/>
      <c r="O924" s="2"/>
      <c r="P924" s="2"/>
      <c r="Q924" s="2"/>
      <c r="R924" s="2"/>
      <c r="S924" s="2"/>
      <c r="T924" s="2"/>
      <c r="U924" s="2"/>
      <c r="V924" s="22"/>
    </row>
    <row r="925" spans="4:22" ht="13.2" x14ac:dyDescent="0.25">
      <c r="D925" s="2"/>
      <c r="E925" s="2"/>
      <c r="F925" s="2"/>
      <c r="G925" s="2"/>
      <c r="H925" s="2"/>
      <c r="I925" s="2"/>
      <c r="J925" s="2"/>
      <c r="K925" s="2"/>
      <c r="L925" s="2"/>
      <c r="M925" s="2"/>
      <c r="N925" s="2"/>
      <c r="O925" s="2"/>
      <c r="P925" s="2"/>
      <c r="Q925" s="2"/>
      <c r="R925" s="2"/>
      <c r="S925" s="2"/>
      <c r="T925" s="2"/>
      <c r="U925" s="2"/>
      <c r="V925" s="22"/>
    </row>
    <row r="926" spans="4:22" ht="13.2" x14ac:dyDescent="0.25">
      <c r="D926" s="2"/>
      <c r="E926" s="2"/>
      <c r="F926" s="2"/>
      <c r="G926" s="2"/>
      <c r="H926" s="2"/>
      <c r="I926" s="2"/>
      <c r="J926" s="2"/>
      <c r="K926" s="2"/>
      <c r="L926" s="2"/>
      <c r="M926" s="2"/>
      <c r="N926" s="2"/>
      <c r="O926" s="2"/>
      <c r="P926" s="2"/>
      <c r="Q926" s="2"/>
      <c r="R926" s="2"/>
      <c r="S926" s="2"/>
      <c r="T926" s="2"/>
      <c r="U926" s="2"/>
      <c r="V926" s="22"/>
    </row>
    <row r="927" spans="4:22" ht="13.2" x14ac:dyDescent="0.25">
      <c r="D927" s="2"/>
      <c r="E927" s="2"/>
      <c r="F927" s="2"/>
      <c r="G927" s="2"/>
      <c r="H927" s="2"/>
      <c r="I927" s="2"/>
      <c r="J927" s="2"/>
      <c r="K927" s="2"/>
      <c r="L927" s="2"/>
      <c r="M927" s="2"/>
      <c r="N927" s="2"/>
      <c r="O927" s="2"/>
      <c r="P927" s="2"/>
      <c r="Q927" s="2"/>
      <c r="R927" s="2"/>
      <c r="S927" s="2"/>
      <c r="T927" s="2"/>
      <c r="U927" s="2"/>
      <c r="V927" s="22"/>
    </row>
    <row r="928" spans="4:22" ht="13.2" x14ac:dyDescent="0.25">
      <c r="D928" s="2"/>
      <c r="E928" s="2"/>
      <c r="F928" s="2"/>
      <c r="G928" s="2"/>
      <c r="H928" s="2"/>
      <c r="I928" s="2"/>
      <c r="J928" s="2"/>
      <c r="K928" s="2"/>
      <c r="L928" s="2"/>
      <c r="M928" s="2"/>
      <c r="N928" s="2"/>
      <c r="O928" s="2"/>
      <c r="P928" s="2"/>
      <c r="Q928" s="2"/>
      <c r="R928" s="2"/>
      <c r="S928" s="2"/>
      <c r="T928" s="2"/>
      <c r="U928" s="2"/>
      <c r="V928" s="22"/>
    </row>
    <row r="929" spans="4:22" ht="13.2" x14ac:dyDescent="0.25">
      <c r="D929" s="2"/>
      <c r="E929" s="2"/>
      <c r="F929" s="2"/>
      <c r="G929" s="2"/>
      <c r="H929" s="2"/>
      <c r="I929" s="2"/>
      <c r="J929" s="2"/>
      <c r="K929" s="2"/>
      <c r="L929" s="2"/>
      <c r="M929" s="2"/>
      <c r="N929" s="2"/>
      <c r="O929" s="2"/>
      <c r="P929" s="2"/>
      <c r="Q929" s="2"/>
      <c r="R929" s="2"/>
      <c r="S929" s="2"/>
      <c r="T929" s="2"/>
      <c r="U929" s="2"/>
      <c r="V929" s="22"/>
    </row>
    <row r="930" spans="4:22" ht="13.2" x14ac:dyDescent="0.25">
      <c r="D930" s="2"/>
      <c r="E930" s="2"/>
      <c r="F930" s="2"/>
      <c r="G930" s="2"/>
      <c r="H930" s="2"/>
      <c r="I930" s="2"/>
      <c r="J930" s="2"/>
      <c r="K930" s="2"/>
      <c r="L930" s="2"/>
      <c r="M930" s="2"/>
      <c r="N930" s="2"/>
      <c r="O930" s="2"/>
      <c r="P930" s="2"/>
      <c r="Q930" s="2"/>
      <c r="R930" s="2"/>
      <c r="S930" s="2"/>
      <c r="T930" s="2"/>
      <c r="U930" s="2"/>
      <c r="V930" s="22"/>
    </row>
    <row r="931" spans="4:22" ht="13.2" x14ac:dyDescent="0.25">
      <c r="D931" s="2"/>
      <c r="E931" s="2"/>
      <c r="F931" s="2"/>
      <c r="G931" s="2"/>
      <c r="H931" s="2"/>
      <c r="I931" s="2"/>
      <c r="J931" s="2"/>
      <c r="K931" s="2"/>
      <c r="L931" s="2"/>
      <c r="M931" s="2"/>
      <c r="N931" s="2"/>
      <c r="O931" s="2"/>
      <c r="P931" s="2"/>
      <c r="Q931" s="2"/>
      <c r="R931" s="2"/>
      <c r="S931" s="2"/>
      <c r="T931" s="2"/>
      <c r="U931" s="2"/>
      <c r="V931" s="22"/>
    </row>
    <row r="932" spans="4:22" ht="13.2" x14ac:dyDescent="0.25">
      <c r="D932" s="2"/>
      <c r="E932" s="2"/>
      <c r="F932" s="2"/>
      <c r="G932" s="2"/>
      <c r="H932" s="2"/>
      <c r="I932" s="2"/>
      <c r="J932" s="2"/>
      <c r="K932" s="2"/>
      <c r="L932" s="2"/>
      <c r="M932" s="2"/>
      <c r="N932" s="2"/>
      <c r="O932" s="2"/>
      <c r="P932" s="2"/>
      <c r="Q932" s="2"/>
      <c r="R932" s="2"/>
      <c r="S932" s="2"/>
      <c r="T932" s="2"/>
      <c r="U932" s="2"/>
      <c r="V932" s="22"/>
    </row>
    <row r="933" spans="4:22" ht="13.2" x14ac:dyDescent="0.25">
      <c r="D933" s="2"/>
      <c r="E933" s="2"/>
      <c r="F933" s="2"/>
      <c r="G933" s="2"/>
      <c r="H933" s="2"/>
      <c r="I933" s="2"/>
      <c r="J933" s="2"/>
      <c r="K933" s="2"/>
      <c r="L933" s="2"/>
      <c r="M933" s="2"/>
      <c r="N933" s="2"/>
      <c r="O933" s="2"/>
      <c r="P933" s="2"/>
      <c r="Q933" s="2"/>
      <c r="R933" s="2"/>
      <c r="S933" s="2"/>
      <c r="T933" s="2"/>
      <c r="U933" s="2"/>
      <c r="V933" s="22"/>
    </row>
    <row r="934" spans="4:22" ht="13.2" x14ac:dyDescent="0.25">
      <c r="D934" s="2"/>
      <c r="E934" s="2"/>
      <c r="F934" s="2"/>
      <c r="G934" s="2"/>
      <c r="H934" s="2"/>
      <c r="I934" s="2"/>
      <c r="J934" s="2"/>
      <c r="K934" s="2"/>
      <c r="L934" s="2"/>
      <c r="M934" s="2"/>
      <c r="N934" s="2"/>
      <c r="O934" s="2"/>
      <c r="P934" s="2"/>
      <c r="Q934" s="2"/>
      <c r="R934" s="2"/>
      <c r="S934" s="2"/>
      <c r="T934" s="2"/>
      <c r="U934" s="2"/>
      <c r="V934" s="22"/>
    </row>
    <row r="935" spans="4:22" ht="13.2" x14ac:dyDescent="0.25">
      <c r="D935" s="2"/>
      <c r="E935" s="2"/>
      <c r="F935" s="2"/>
      <c r="G935" s="2"/>
      <c r="H935" s="2"/>
      <c r="I935" s="2"/>
      <c r="J935" s="2"/>
      <c r="K935" s="2"/>
      <c r="L935" s="2"/>
      <c r="M935" s="2"/>
      <c r="N935" s="2"/>
      <c r="O935" s="2"/>
      <c r="P935" s="2"/>
      <c r="Q935" s="2"/>
      <c r="R935" s="2"/>
      <c r="S935" s="2"/>
      <c r="T935" s="2"/>
      <c r="U935" s="2"/>
      <c r="V935" s="22"/>
    </row>
    <row r="936" spans="4:22" ht="13.2" x14ac:dyDescent="0.25">
      <c r="D936" s="2"/>
      <c r="E936" s="2"/>
      <c r="F936" s="2"/>
      <c r="G936" s="2"/>
      <c r="H936" s="2"/>
      <c r="I936" s="2"/>
      <c r="J936" s="2"/>
      <c r="K936" s="2"/>
      <c r="L936" s="2"/>
      <c r="M936" s="2"/>
      <c r="N936" s="2"/>
      <c r="O936" s="2"/>
      <c r="P936" s="2"/>
      <c r="Q936" s="2"/>
      <c r="R936" s="2"/>
      <c r="S936" s="2"/>
      <c r="T936" s="2"/>
      <c r="U936" s="2"/>
      <c r="V936" s="22"/>
    </row>
    <row r="937" spans="4:22" ht="13.2" x14ac:dyDescent="0.25">
      <c r="D937" s="2"/>
      <c r="E937" s="2"/>
      <c r="F937" s="2"/>
      <c r="G937" s="2"/>
      <c r="H937" s="2"/>
      <c r="I937" s="2"/>
      <c r="J937" s="2"/>
      <c r="K937" s="2"/>
      <c r="L937" s="2"/>
      <c r="M937" s="2"/>
      <c r="N937" s="2"/>
      <c r="O937" s="2"/>
      <c r="P937" s="2"/>
      <c r="Q937" s="2"/>
      <c r="R937" s="2"/>
      <c r="S937" s="2"/>
      <c r="T937" s="2"/>
      <c r="U937" s="2"/>
      <c r="V937" s="22"/>
    </row>
    <row r="938" spans="4:22" ht="13.2" x14ac:dyDescent="0.25">
      <c r="D938" s="2"/>
      <c r="E938" s="2"/>
      <c r="F938" s="2"/>
      <c r="G938" s="2"/>
      <c r="H938" s="2"/>
      <c r="I938" s="2"/>
      <c r="J938" s="2"/>
      <c r="K938" s="2"/>
      <c r="L938" s="2"/>
      <c r="M938" s="2"/>
      <c r="N938" s="2"/>
      <c r="O938" s="2"/>
      <c r="P938" s="2"/>
      <c r="Q938" s="2"/>
      <c r="R938" s="2"/>
      <c r="S938" s="2"/>
      <c r="T938" s="2"/>
      <c r="U938" s="2"/>
      <c r="V938" s="22"/>
    </row>
    <row r="939" spans="4:22" ht="13.2" x14ac:dyDescent="0.25">
      <c r="D939" s="2"/>
      <c r="E939" s="2"/>
      <c r="F939" s="2"/>
      <c r="G939" s="2"/>
      <c r="H939" s="2"/>
      <c r="I939" s="2"/>
      <c r="J939" s="2"/>
      <c r="K939" s="2"/>
      <c r="L939" s="2"/>
      <c r="M939" s="2"/>
      <c r="N939" s="2"/>
      <c r="O939" s="2"/>
      <c r="P939" s="2"/>
      <c r="Q939" s="2"/>
      <c r="R939" s="2"/>
      <c r="S939" s="2"/>
      <c r="T939" s="2"/>
      <c r="U939" s="2"/>
      <c r="V939" s="22"/>
    </row>
    <row r="940" spans="4:22" ht="13.2" x14ac:dyDescent="0.25">
      <c r="D940" s="2"/>
      <c r="E940" s="2"/>
      <c r="F940" s="2"/>
      <c r="G940" s="2"/>
      <c r="H940" s="2"/>
      <c r="I940" s="2"/>
      <c r="J940" s="2"/>
      <c r="K940" s="2"/>
      <c r="L940" s="2"/>
      <c r="M940" s="2"/>
      <c r="N940" s="2"/>
      <c r="O940" s="2"/>
      <c r="P940" s="2"/>
      <c r="Q940" s="2"/>
      <c r="R940" s="2"/>
      <c r="S940" s="2"/>
      <c r="T940" s="2"/>
      <c r="U940" s="2"/>
      <c r="V940" s="22"/>
    </row>
    <row r="941" spans="4:22" ht="13.2" x14ac:dyDescent="0.25">
      <c r="D941" s="2"/>
      <c r="E941" s="2"/>
      <c r="F941" s="2"/>
      <c r="G941" s="2"/>
      <c r="H941" s="2"/>
      <c r="I941" s="2"/>
      <c r="J941" s="2"/>
      <c r="K941" s="2"/>
      <c r="L941" s="2"/>
      <c r="M941" s="2"/>
      <c r="N941" s="2"/>
      <c r="O941" s="2"/>
      <c r="P941" s="2"/>
      <c r="Q941" s="2"/>
      <c r="R941" s="2"/>
      <c r="S941" s="2"/>
      <c r="T941" s="2"/>
      <c r="U941" s="2"/>
      <c r="V941" s="22"/>
    </row>
    <row r="942" spans="4:22" ht="13.2" x14ac:dyDescent="0.25">
      <c r="D942" s="2"/>
      <c r="E942" s="2"/>
      <c r="F942" s="2"/>
      <c r="G942" s="2"/>
      <c r="H942" s="2"/>
      <c r="I942" s="2"/>
      <c r="J942" s="2"/>
      <c r="K942" s="2"/>
      <c r="L942" s="2"/>
      <c r="M942" s="2"/>
      <c r="N942" s="2"/>
      <c r="O942" s="2"/>
      <c r="P942" s="2"/>
      <c r="Q942" s="2"/>
      <c r="R942" s="2"/>
      <c r="S942" s="2"/>
      <c r="T942" s="2"/>
      <c r="U942" s="2"/>
      <c r="V942" s="22"/>
    </row>
    <row r="943" spans="4:22" ht="13.2" x14ac:dyDescent="0.25">
      <c r="D943" s="2"/>
      <c r="E943" s="2"/>
      <c r="F943" s="2"/>
      <c r="G943" s="2"/>
      <c r="H943" s="2"/>
      <c r="I943" s="2"/>
      <c r="J943" s="2"/>
      <c r="K943" s="2"/>
      <c r="L943" s="2"/>
      <c r="M943" s="2"/>
      <c r="N943" s="2"/>
      <c r="O943" s="2"/>
      <c r="P943" s="2"/>
      <c r="Q943" s="2"/>
      <c r="R943" s="2"/>
      <c r="S943" s="2"/>
      <c r="T943" s="2"/>
      <c r="U943" s="2"/>
      <c r="V943" s="22"/>
    </row>
    <row r="944" spans="4:22" ht="13.2" x14ac:dyDescent="0.25">
      <c r="D944" s="2"/>
      <c r="E944" s="2"/>
      <c r="F944" s="2"/>
      <c r="G944" s="2"/>
      <c r="H944" s="2"/>
      <c r="I944" s="2"/>
      <c r="J944" s="2"/>
      <c r="K944" s="2"/>
      <c r="L944" s="2"/>
      <c r="M944" s="2"/>
      <c r="N944" s="2"/>
      <c r="O944" s="2"/>
      <c r="P944" s="2"/>
      <c r="Q944" s="2"/>
      <c r="R944" s="2"/>
      <c r="S944" s="2"/>
      <c r="T944" s="2"/>
      <c r="U944" s="2"/>
      <c r="V944" s="22"/>
    </row>
    <row r="945" spans="4:22" ht="13.2" x14ac:dyDescent="0.25">
      <c r="D945" s="2"/>
      <c r="E945" s="2"/>
      <c r="F945" s="2"/>
      <c r="G945" s="2"/>
      <c r="H945" s="2"/>
      <c r="I945" s="2"/>
      <c r="J945" s="2"/>
      <c r="K945" s="2"/>
      <c r="L945" s="2"/>
      <c r="M945" s="2"/>
      <c r="N945" s="2"/>
      <c r="O945" s="2"/>
      <c r="P945" s="2"/>
      <c r="Q945" s="2"/>
      <c r="R945" s="2"/>
      <c r="S945" s="2"/>
      <c r="T945" s="2"/>
      <c r="U945" s="2"/>
      <c r="V945" s="22"/>
    </row>
    <row r="946" spans="4:22" ht="13.2" x14ac:dyDescent="0.25">
      <c r="D946" s="2"/>
      <c r="E946" s="2"/>
      <c r="F946" s="2"/>
      <c r="G946" s="2"/>
      <c r="H946" s="2"/>
      <c r="I946" s="2"/>
      <c r="J946" s="2"/>
      <c r="K946" s="2"/>
      <c r="L946" s="2"/>
      <c r="M946" s="2"/>
      <c r="N946" s="2"/>
      <c r="O946" s="2"/>
      <c r="P946" s="2"/>
      <c r="Q946" s="2"/>
      <c r="R946" s="2"/>
      <c r="S946" s="2"/>
      <c r="T946" s="2"/>
      <c r="U946" s="2"/>
      <c r="V946" s="22"/>
    </row>
    <row r="947" spans="4:22" ht="13.2" x14ac:dyDescent="0.25">
      <c r="D947" s="2"/>
      <c r="E947" s="2"/>
      <c r="F947" s="2"/>
      <c r="G947" s="2"/>
      <c r="H947" s="2"/>
      <c r="I947" s="2"/>
      <c r="J947" s="2"/>
      <c r="K947" s="2"/>
      <c r="L947" s="2"/>
      <c r="M947" s="2"/>
      <c r="N947" s="2"/>
      <c r="O947" s="2"/>
      <c r="P947" s="2"/>
      <c r="Q947" s="2"/>
      <c r="R947" s="2"/>
      <c r="S947" s="2"/>
      <c r="T947" s="2"/>
      <c r="U947" s="2"/>
      <c r="V947" s="22"/>
    </row>
    <row r="948" spans="4:22" ht="13.2" x14ac:dyDescent="0.25">
      <c r="D948" s="2"/>
      <c r="E948" s="2"/>
      <c r="F948" s="2"/>
      <c r="G948" s="2"/>
      <c r="H948" s="2"/>
      <c r="I948" s="2"/>
      <c r="J948" s="2"/>
      <c r="K948" s="2"/>
      <c r="L948" s="2"/>
      <c r="M948" s="2"/>
      <c r="N948" s="2"/>
      <c r="O948" s="2"/>
      <c r="P948" s="2"/>
      <c r="Q948" s="2"/>
      <c r="R948" s="2"/>
      <c r="S948" s="2"/>
      <c r="T948" s="2"/>
      <c r="U948" s="2"/>
      <c r="V948" s="22"/>
    </row>
    <row r="949" spans="4:22" ht="13.2" x14ac:dyDescent="0.25">
      <c r="D949" s="2"/>
      <c r="E949" s="2"/>
      <c r="F949" s="2"/>
      <c r="G949" s="2"/>
      <c r="H949" s="2"/>
      <c r="I949" s="2"/>
      <c r="J949" s="2"/>
      <c r="K949" s="2"/>
      <c r="L949" s="2"/>
      <c r="M949" s="2"/>
      <c r="N949" s="2"/>
      <c r="O949" s="2"/>
      <c r="P949" s="2"/>
      <c r="Q949" s="2"/>
      <c r="R949" s="2"/>
      <c r="S949" s="2"/>
      <c r="T949" s="2"/>
      <c r="U949" s="2"/>
      <c r="V949" s="22"/>
    </row>
    <row r="950" spans="4:22" ht="13.2" x14ac:dyDescent="0.25">
      <c r="D950" s="2"/>
      <c r="E950" s="2"/>
      <c r="F950" s="2"/>
      <c r="G950" s="2"/>
      <c r="H950" s="2"/>
      <c r="I950" s="2"/>
      <c r="J950" s="2"/>
      <c r="K950" s="2"/>
      <c r="L950" s="2"/>
      <c r="M950" s="2"/>
      <c r="N950" s="2"/>
      <c r="O950" s="2"/>
      <c r="P950" s="2"/>
      <c r="Q950" s="2"/>
      <c r="R950" s="2"/>
      <c r="S950" s="2"/>
      <c r="T950" s="2"/>
      <c r="U950" s="2"/>
      <c r="V950" s="22"/>
    </row>
    <row r="951" spans="4:22" ht="13.2" x14ac:dyDescent="0.25">
      <c r="D951" s="2"/>
      <c r="E951" s="2"/>
      <c r="F951" s="2"/>
      <c r="G951" s="2"/>
      <c r="H951" s="2"/>
      <c r="I951" s="2"/>
      <c r="J951" s="2"/>
      <c r="K951" s="2"/>
      <c r="L951" s="2"/>
      <c r="M951" s="2"/>
      <c r="N951" s="2"/>
      <c r="O951" s="2"/>
      <c r="P951" s="2"/>
      <c r="Q951" s="2"/>
      <c r="R951" s="2"/>
      <c r="S951" s="2"/>
      <c r="T951" s="2"/>
      <c r="U951" s="2"/>
      <c r="V951" s="22"/>
    </row>
    <row r="952" spans="4:22" ht="13.2" x14ac:dyDescent="0.25">
      <c r="D952" s="2"/>
      <c r="E952" s="2"/>
      <c r="F952" s="2"/>
      <c r="G952" s="2"/>
      <c r="H952" s="2"/>
      <c r="I952" s="2"/>
      <c r="J952" s="2"/>
      <c r="K952" s="2"/>
      <c r="L952" s="2"/>
      <c r="M952" s="2"/>
      <c r="N952" s="2"/>
      <c r="O952" s="2"/>
      <c r="P952" s="2"/>
      <c r="Q952" s="2"/>
      <c r="R952" s="2"/>
      <c r="S952" s="2"/>
      <c r="T952" s="2"/>
      <c r="U952" s="2"/>
      <c r="V952" s="22"/>
    </row>
    <row r="953" spans="4:22" ht="13.2" x14ac:dyDescent="0.25">
      <c r="D953" s="2"/>
      <c r="E953" s="2"/>
      <c r="F953" s="2"/>
      <c r="G953" s="2"/>
      <c r="H953" s="2"/>
      <c r="I953" s="2"/>
      <c r="J953" s="2"/>
      <c r="K953" s="2"/>
      <c r="L953" s="2"/>
      <c r="M953" s="2"/>
      <c r="N953" s="2"/>
      <c r="O953" s="2"/>
      <c r="P953" s="2"/>
      <c r="Q953" s="2"/>
      <c r="R953" s="2"/>
      <c r="S953" s="2"/>
      <c r="T953" s="2"/>
      <c r="U953" s="2"/>
      <c r="V953" s="22"/>
    </row>
    <row r="954" spans="4:22" ht="13.2" x14ac:dyDescent="0.25">
      <c r="D954" s="2"/>
      <c r="E954" s="2"/>
      <c r="F954" s="2"/>
      <c r="G954" s="2"/>
      <c r="H954" s="2"/>
      <c r="I954" s="2"/>
      <c r="J954" s="2"/>
      <c r="K954" s="2"/>
      <c r="L954" s="2"/>
      <c r="M954" s="2"/>
      <c r="N954" s="2"/>
      <c r="O954" s="2"/>
      <c r="P954" s="2"/>
      <c r="Q954" s="2"/>
      <c r="R954" s="2"/>
      <c r="S954" s="2"/>
      <c r="T954" s="2"/>
      <c r="U954" s="2"/>
      <c r="V954" s="22"/>
    </row>
    <row r="955" spans="4:22" ht="13.2" x14ac:dyDescent="0.25">
      <c r="D955" s="2"/>
      <c r="E955" s="2"/>
      <c r="F955" s="2"/>
      <c r="G955" s="2"/>
      <c r="H955" s="2"/>
      <c r="I955" s="2"/>
      <c r="J955" s="2"/>
      <c r="K955" s="2"/>
      <c r="L955" s="2"/>
      <c r="M955" s="2"/>
      <c r="N955" s="2"/>
      <c r="O955" s="2"/>
      <c r="P955" s="2"/>
      <c r="Q955" s="2"/>
      <c r="R955" s="2"/>
      <c r="S955" s="2"/>
      <c r="T955" s="2"/>
      <c r="U955" s="2"/>
      <c r="V955" s="22"/>
    </row>
    <row r="956" spans="4:22" ht="13.2" x14ac:dyDescent="0.25">
      <c r="D956" s="2"/>
      <c r="E956" s="2"/>
      <c r="F956" s="2"/>
      <c r="G956" s="2"/>
      <c r="H956" s="2"/>
      <c r="I956" s="2"/>
      <c r="J956" s="2"/>
      <c r="K956" s="2"/>
      <c r="L956" s="2"/>
      <c r="M956" s="2"/>
      <c r="N956" s="2"/>
      <c r="O956" s="2"/>
      <c r="P956" s="2"/>
      <c r="Q956" s="2"/>
      <c r="R956" s="2"/>
      <c r="S956" s="2"/>
      <c r="T956" s="2"/>
      <c r="U956" s="2"/>
      <c r="V956" s="22"/>
    </row>
    <row r="957" spans="4:22" ht="13.2" x14ac:dyDescent="0.25">
      <c r="D957" s="2"/>
      <c r="E957" s="2"/>
      <c r="F957" s="2"/>
      <c r="G957" s="2"/>
      <c r="H957" s="2"/>
      <c r="I957" s="2"/>
      <c r="J957" s="2"/>
      <c r="K957" s="2"/>
      <c r="L957" s="2"/>
      <c r="M957" s="2"/>
      <c r="N957" s="2"/>
      <c r="O957" s="2"/>
      <c r="P957" s="2"/>
      <c r="Q957" s="2"/>
      <c r="R957" s="2"/>
      <c r="S957" s="2"/>
      <c r="T957" s="2"/>
      <c r="U957" s="2"/>
      <c r="V957" s="22"/>
    </row>
    <row r="958" spans="4:22" ht="13.2" x14ac:dyDescent="0.25">
      <c r="D958" s="2"/>
      <c r="E958" s="2"/>
      <c r="F958" s="2"/>
      <c r="G958" s="2"/>
      <c r="H958" s="2"/>
      <c r="I958" s="2"/>
      <c r="J958" s="2"/>
      <c r="K958" s="2"/>
      <c r="L958" s="2"/>
      <c r="M958" s="2"/>
      <c r="N958" s="2"/>
      <c r="O958" s="2"/>
      <c r="P958" s="2"/>
      <c r="Q958" s="2"/>
      <c r="R958" s="2"/>
      <c r="S958" s="2"/>
      <c r="T958" s="2"/>
      <c r="U958" s="2"/>
      <c r="V958" s="22"/>
    </row>
    <row r="959" spans="4:22" ht="13.2" x14ac:dyDescent="0.25">
      <c r="D959" s="2"/>
      <c r="E959" s="2"/>
      <c r="F959" s="2"/>
      <c r="G959" s="2"/>
      <c r="H959" s="2"/>
      <c r="I959" s="2"/>
      <c r="J959" s="2"/>
      <c r="K959" s="2"/>
      <c r="L959" s="2"/>
      <c r="M959" s="2"/>
      <c r="N959" s="2"/>
      <c r="O959" s="2"/>
      <c r="P959" s="2"/>
      <c r="Q959" s="2"/>
      <c r="R959" s="2"/>
      <c r="S959" s="2"/>
      <c r="T959" s="2"/>
      <c r="U959" s="2"/>
      <c r="V959" s="22"/>
    </row>
    <row r="960" spans="4:22" ht="13.2" x14ac:dyDescent="0.25">
      <c r="D960" s="2"/>
      <c r="E960" s="2"/>
      <c r="F960" s="2"/>
      <c r="G960" s="2"/>
      <c r="H960" s="2"/>
      <c r="I960" s="2"/>
      <c r="J960" s="2"/>
      <c r="K960" s="2"/>
      <c r="L960" s="2"/>
      <c r="M960" s="2"/>
      <c r="N960" s="2"/>
      <c r="O960" s="2"/>
      <c r="P960" s="2"/>
      <c r="Q960" s="2"/>
      <c r="R960" s="2"/>
      <c r="S960" s="2"/>
      <c r="T960" s="2"/>
      <c r="U960" s="2"/>
      <c r="V960" s="22"/>
    </row>
    <row r="961" spans="4:22" ht="13.2" x14ac:dyDescent="0.25">
      <c r="D961" s="2"/>
      <c r="E961" s="2"/>
      <c r="F961" s="2"/>
      <c r="G961" s="2"/>
      <c r="H961" s="2"/>
      <c r="I961" s="2"/>
      <c r="J961" s="2"/>
      <c r="K961" s="2"/>
      <c r="L961" s="2"/>
      <c r="M961" s="2"/>
      <c r="N961" s="2"/>
      <c r="O961" s="2"/>
      <c r="P961" s="2"/>
      <c r="Q961" s="2"/>
      <c r="R961" s="2"/>
      <c r="S961" s="2"/>
      <c r="T961" s="2"/>
      <c r="U961" s="2"/>
      <c r="V961" s="22"/>
    </row>
    <row r="962" spans="4:22" ht="13.2" x14ac:dyDescent="0.25">
      <c r="D962" s="2"/>
      <c r="E962" s="2"/>
      <c r="F962" s="2"/>
      <c r="G962" s="2"/>
      <c r="H962" s="2"/>
      <c r="I962" s="2"/>
      <c r="J962" s="2"/>
      <c r="K962" s="2"/>
      <c r="L962" s="2"/>
      <c r="M962" s="2"/>
      <c r="N962" s="2"/>
      <c r="O962" s="2"/>
      <c r="P962" s="2"/>
      <c r="Q962" s="2"/>
      <c r="R962" s="2"/>
      <c r="S962" s="2"/>
      <c r="T962" s="2"/>
      <c r="U962" s="2"/>
      <c r="V962" s="22"/>
    </row>
    <row r="963" spans="4:22" ht="13.2" x14ac:dyDescent="0.25">
      <c r="D963" s="2"/>
      <c r="E963" s="2"/>
      <c r="F963" s="2"/>
      <c r="G963" s="2"/>
      <c r="H963" s="2"/>
      <c r="I963" s="2"/>
      <c r="J963" s="2"/>
      <c r="K963" s="2"/>
      <c r="L963" s="2"/>
      <c r="M963" s="2"/>
      <c r="N963" s="2"/>
      <c r="O963" s="2"/>
      <c r="P963" s="2"/>
      <c r="Q963" s="2"/>
      <c r="R963" s="2"/>
      <c r="S963" s="2"/>
      <c r="T963" s="2"/>
      <c r="U963" s="2"/>
      <c r="V963" s="22"/>
    </row>
    <row r="964" spans="4:22" ht="13.2" x14ac:dyDescent="0.25">
      <c r="D964" s="2"/>
      <c r="E964" s="2"/>
      <c r="F964" s="2"/>
      <c r="G964" s="2"/>
      <c r="H964" s="2"/>
      <c r="I964" s="2"/>
      <c r="J964" s="2"/>
      <c r="K964" s="2"/>
      <c r="L964" s="2"/>
      <c r="M964" s="2"/>
      <c r="N964" s="2"/>
      <c r="O964" s="2"/>
      <c r="P964" s="2"/>
      <c r="Q964" s="2"/>
      <c r="R964" s="2"/>
      <c r="S964" s="2"/>
      <c r="T964" s="2"/>
      <c r="U964" s="2"/>
      <c r="V964" s="22"/>
    </row>
    <row r="965" spans="4:22" ht="13.2" x14ac:dyDescent="0.25">
      <c r="D965" s="2"/>
      <c r="E965" s="2"/>
      <c r="F965" s="2"/>
      <c r="G965" s="2"/>
      <c r="H965" s="2"/>
      <c r="I965" s="2"/>
      <c r="J965" s="2"/>
      <c r="K965" s="2"/>
      <c r="L965" s="2"/>
      <c r="M965" s="2"/>
      <c r="N965" s="2"/>
      <c r="O965" s="2"/>
      <c r="P965" s="2"/>
      <c r="Q965" s="2"/>
      <c r="R965" s="2"/>
      <c r="S965" s="2"/>
      <c r="T965" s="2"/>
      <c r="U965" s="2"/>
      <c r="V965" s="22"/>
    </row>
    <row r="966" spans="4:22" ht="13.2" x14ac:dyDescent="0.25">
      <c r="D966" s="2"/>
      <c r="E966" s="2"/>
      <c r="F966" s="2"/>
      <c r="G966" s="2"/>
      <c r="H966" s="2"/>
      <c r="I966" s="2"/>
      <c r="J966" s="2"/>
      <c r="K966" s="2"/>
      <c r="L966" s="2"/>
      <c r="M966" s="2"/>
      <c r="N966" s="2"/>
      <c r="O966" s="2"/>
      <c r="P966" s="2"/>
      <c r="Q966" s="2"/>
      <c r="R966" s="2"/>
      <c r="S966" s="2"/>
      <c r="T966" s="2"/>
      <c r="U966" s="2"/>
      <c r="V966" s="22"/>
    </row>
    <row r="967" spans="4:22" ht="13.2" x14ac:dyDescent="0.25">
      <c r="D967" s="2"/>
      <c r="E967" s="2"/>
      <c r="F967" s="2"/>
      <c r="G967" s="2"/>
      <c r="H967" s="2"/>
      <c r="I967" s="2"/>
      <c r="J967" s="2"/>
      <c r="K967" s="2"/>
      <c r="L967" s="2"/>
      <c r="M967" s="2"/>
      <c r="N967" s="2"/>
      <c r="O967" s="2"/>
      <c r="P967" s="2"/>
      <c r="Q967" s="2"/>
      <c r="R967" s="2"/>
      <c r="S967" s="2"/>
      <c r="T967" s="2"/>
      <c r="U967" s="2"/>
      <c r="V967" s="22"/>
    </row>
    <row r="968" spans="4:22" ht="13.2" x14ac:dyDescent="0.25">
      <c r="D968" s="2"/>
      <c r="E968" s="2"/>
      <c r="F968" s="2"/>
      <c r="G968" s="2"/>
      <c r="H968" s="2"/>
      <c r="I968" s="2"/>
      <c r="J968" s="2"/>
      <c r="K968" s="2"/>
      <c r="L968" s="2"/>
      <c r="M968" s="2"/>
      <c r="N968" s="2"/>
      <c r="O968" s="2"/>
      <c r="P968" s="2"/>
      <c r="Q968" s="2"/>
      <c r="R968" s="2"/>
      <c r="S968" s="2"/>
      <c r="T968" s="2"/>
      <c r="U968" s="2"/>
      <c r="V968" s="22"/>
    </row>
    <row r="969" spans="4:22" ht="13.2" x14ac:dyDescent="0.25">
      <c r="D969" s="2"/>
      <c r="E969" s="2"/>
      <c r="F969" s="2"/>
      <c r="G969" s="2"/>
      <c r="H969" s="2"/>
      <c r="I969" s="2"/>
      <c r="J969" s="2"/>
      <c r="K969" s="2"/>
      <c r="L969" s="2"/>
      <c r="M969" s="2"/>
      <c r="N969" s="2"/>
      <c r="O969" s="2"/>
      <c r="P969" s="2"/>
      <c r="Q969" s="2"/>
      <c r="R969" s="2"/>
      <c r="S969" s="2"/>
      <c r="T969" s="2"/>
      <c r="U969" s="2"/>
      <c r="V969" s="22"/>
    </row>
    <row r="970" spans="4:22" ht="13.2" x14ac:dyDescent="0.25">
      <c r="D970" s="2"/>
      <c r="E970" s="2"/>
      <c r="F970" s="2"/>
      <c r="G970" s="2"/>
      <c r="H970" s="2"/>
      <c r="I970" s="2"/>
      <c r="J970" s="2"/>
      <c r="K970" s="2"/>
      <c r="L970" s="2"/>
      <c r="M970" s="2"/>
      <c r="N970" s="2"/>
      <c r="O970" s="2"/>
      <c r="P970" s="2"/>
      <c r="Q970" s="2"/>
      <c r="R970" s="2"/>
      <c r="S970" s="2"/>
      <c r="T970" s="2"/>
      <c r="U970" s="2"/>
      <c r="V970" s="22"/>
    </row>
    <row r="971" spans="4:22" ht="13.2" x14ac:dyDescent="0.25">
      <c r="D971" s="2"/>
      <c r="E971" s="2"/>
      <c r="F971" s="2"/>
      <c r="G971" s="2"/>
      <c r="H971" s="2"/>
      <c r="I971" s="2"/>
      <c r="J971" s="2"/>
      <c r="K971" s="2"/>
      <c r="L971" s="2"/>
      <c r="M971" s="2"/>
      <c r="N971" s="2"/>
      <c r="O971" s="2"/>
      <c r="P971" s="2"/>
      <c r="Q971" s="2"/>
      <c r="R971" s="2"/>
      <c r="S971" s="2"/>
      <c r="T971" s="2"/>
      <c r="U971" s="2"/>
      <c r="V971" s="22"/>
    </row>
    <row r="972" spans="4:22" ht="13.2" x14ac:dyDescent="0.25">
      <c r="D972" s="2"/>
      <c r="E972" s="2"/>
      <c r="F972" s="2"/>
      <c r="G972" s="2"/>
      <c r="H972" s="2"/>
      <c r="I972" s="2"/>
      <c r="J972" s="2"/>
      <c r="K972" s="2"/>
      <c r="L972" s="2"/>
      <c r="M972" s="2"/>
      <c r="N972" s="2"/>
      <c r="O972" s="2"/>
      <c r="P972" s="2"/>
      <c r="Q972" s="2"/>
      <c r="R972" s="2"/>
      <c r="S972" s="2"/>
      <c r="T972" s="2"/>
      <c r="U972" s="2"/>
      <c r="V972" s="22"/>
    </row>
    <row r="973" spans="4:22" ht="13.2" x14ac:dyDescent="0.25">
      <c r="D973" s="2"/>
      <c r="E973" s="2"/>
      <c r="F973" s="2"/>
      <c r="G973" s="2"/>
      <c r="H973" s="2"/>
      <c r="I973" s="2"/>
      <c r="J973" s="2"/>
      <c r="K973" s="2"/>
      <c r="L973" s="2"/>
      <c r="M973" s="2"/>
      <c r="N973" s="2"/>
      <c r="O973" s="2"/>
      <c r="P973" s="2"/>
      <c r="Q973" s="2"/>
      <c r="R973" s="2"/>
      <c r="S973" s="2"/>
      <c r="T973" s="2"/>
      <c r="U973" s="2"/>
      <c r="V973" s="22"/>
    </row>
    <row r="974" spans="4:22" ht="13.2" x14ac:dyDescent="0.25">
      <c r="D974" s="2"/>
      <c r="E974" s="2"/>
      <c r="F974" s="2"/>
      <c r="G974" s="2"/>
      <c r="H974" s="2"/>
      <c r="I974" s="2"/>
      <c r="J974" s="2"/>
      <c r="K974" s="2"/>
      <c r="L974" s="2"/>
      <c r="M974" s="2"/>
      <c r="N974" s="2"/>
      <c r="O974" s="2"/>
      <c r="P974" s="2"/>
      <c r="Q974" s="2"/>
      <c r="R974" s="2"/>
      <c r="S974" s="2"/>
      <c r="T974" s="2"/>
      <c r="U974" s="2"/>
      <c r="V974" s="22"/>
    </row>
    <row r="975" spans="4:22" ht="13.2" x14ac:dyDescent="0.25">
      <c r="D975" s="2"/>
      <c r="E975" s="2"/>
      <c r="F975" s="2"/>
      <c r="G975" s="2"/>
      <c r="H975" s="2"/>
      <c r="I975" s="2"/>
      <c r="J975" s="2"/>
      <c r="K975" s="2"/>
      <c r="L975" s="2"/>
      <c r="M975" s="2"/>
      <c r="N975" s="2"/>
      <c r="O975" s="2"/>
      <c r="P975" s="2"/>
      <c r="Q975" s="2"/>
      <c r="R975" s="2"/>
      <c r="S975" s="2"/>
      <c r="T975" s="2"/>
      <c r="U975" s="2"/>
      <c r="V975" s="22"/>
    </row>
    <row r="976" spans="4:22" ht="13.2" x14ac:dyDescent="0.25">
      <c r="D976" s="2"/>
      <c r="E976" s="2"/>
      <c r="F976" s="2"/>
      <c r="G976" s="2"/>
      <c r="H976" s="2"/>
      <c r="I976" s="2"/>
      <c r="J976" s="2"/>
      <c r="K976" s="2"/>
      <c r="L976" s="2"/>
      <c r="M976" s="2"/>
      <c r="N976" s="2"/>
      <c r="O976" s="2"/>
      <c r="P976" s="2"/>
      <c r="Q976" s="2"/>
      <c r="R976" s="2"/>
      <c r="S976" s="2"/>
      <c r="T976" s="2"/>
      <c r="U976" s="2"/>
      <c r="V976" s="22"/>
    </row>
    <row r="977" spans="4:22" ht="13.2" x14ac:dyDescent="0.25">
      <c r="D977" s="2"/>
      <c r="E977" s="2"/>
      <c r="F977" s="2"/>
      <c r="G977" s="2"/>
      <c r="H977" s="2"/>
      <c r="I977" s="2"/>
      <c r="J977" s="2"/>
      <c r="K977" s="2"/>
      <c r="L977" s="2"/>
      <c r="M977" s="2"/>
      <c r="N977" s="2"/>
      <c r="O977" s="2"/>
      <c r="P977" s="2"/>
      <c r="Q977" s="2"/>
      <c r="R977" s="2"/>
      <c r="S977" s="2"/>
      <c r="T977" s="2"/>
      <c r="U977" s="2"/>
      <c r="V977" s="22"/>
    </row>
    <row r="978" spans="4:22" ht="13.2" x14ac:dyDescent="0.25">
      <c r="D978" s="2"/>
      <c r="E978" s="2"/>
      <c r="F978" s="2"/>
      <c r="G978" s="2"/>
      <c r="H978" s="2"/>
      <c r="I978" s="2"/>
      <c r="J978" s="2"/>
      <c r="K978" s="2"/>
      <c r="L978" s="2"/>
      <c r="M978" s="2"/>
      <c r="N978" s="2"/>
      <c r="O978" s="2"/>
      <c r="P978" s="2"/>
      <c r="Q978" s="2"/>
      <c r="R978" s="2"/>
      <c r="S978" s="2"/>
      <c r="T978" s="2"/>
      <c r="U978" s="2"/>
      <c r="V978" s="22"/>
    </row>
    <row r="979" spans="4:22" ht="13.2" x14ac:dyDescent="0.25">
      <c r="D979" s="2"/>
      <c r="E979" s="2"/>
      <c r="F979" s="2"/>
      <c r="G979" s="2"/>
      <c r="H979" s="2"/>
      <c r="I979" s="2"/>
      <c r="J979" s="2"/>
      <c r="K979" s="2"/>
      <c r="L979" s="2"/>
      <c r="M979" s="2"/>
      <c r="N979" s="2"/>
      <c r="O979" s="2"/>
      <c r="P979" s="2"/>
      <c r="Q979" s="2"/>
      <c r="R979" s="2"/>
      <c r="S979" s="2"/>
      <c r="T979" s="2"/>
      <c r="U979" s="2"/>
      <c r="V979" s="22"/>
    </row>
    <row r="980" spans="4:22" ht="13.2" x14ac:dyDescent="0.25">
      <c r="D980" s="2"/>
      <c r="E980" s="2"/>
      <c r="F980" s="2"/>
      <c r="G980" s="2"/>
      <c r="H980" s="2"/>
      <c r="I980" s="2"/>
      <c r="J980" s="2"/>
      <c r="K980" s="2"/>
      <c r="L980" s="2"/>
      <c r="M980" s="2"/>
      <c r="N980" s="2"/>
      <c r="O980" s="2"/>
      <c r="P980" s="2"/>
      <c r="Q980" s="2"/>
      <c r="R980" s="2"/>
      <c r="S980" s="2"/>
      <c r="T980" s="2"/>
      <c r="U980" s="2"/>
      <c r="V980" s="22"/>
    </row>
    <row r="981" spans="4:22" ht="13.2" x14ac:dyDescent="0.25">
      <c r="D981" s="2"/>
      <c r="E981" s="2"/>
      <c r="F981" s="2"/>
      <c r="G981" s="2"/>
      <c r="H981" s="2"/>
      <c r="I981" s="2"/>
      <c r="J981" s="2"/>
      <c r="K981" s="2"/>
      <c r="L981" s="2"/>
      <c r="M981" s="2"/>
      <c r="N981" s="2"/>
      <c r="O981" s="2"/>
      <c r="P981" s="2"/>
      <c r="Q981" s="2"/>
      <c r="R981" s="2"/>
      <c r="S981" s="2"/>
      <c r="T981" s="2"/>
      <c r="U981" s="2"/>
      <c r="V981" s="22"/>
    </row>
    <row r="982" spans="4:22" ht="13.2" x14ac:dyDescent="0.25">
      <c r="D982" s="2"/>
      <c r="E982" s="2"/>
      <c r="F982" s="2"/>
      <c r="G982" s="2"/>
      <c r="H982" s="2"/>
      <c r="I982" s="2"/>
      <c r="J982" s="2"/>
      <c r="K982" s="2"/>
      <c r="L982" s="2"/>
      <c r="M982" s="2"/>
      <c r="N982" s="2"/>
      <c r="O982" s="2"/>
      <c r="P982" s="2"/>
      <c r="Q982" s="2"/>
      <c r="R982" s="2"/>
      <c r="S982" s="2"/>
      <c r="T982" s="2"/>
      <c r="U982" s="2"/>
      <c r="V982" s="22"/>
    </row>
    <row r="983" spans="4:22" ht="13.2" x14ac:dyDescent="0.25">
      <c r="D983" s="2"/>
      <c r="E983" s="2"/>
      <c r="F983" s="2"/>
      <c r="G983" s="2"/>
      <c r="H983" s="2"/>
      <c r="I983" s="2"/>
      <c r="J983" s="2"/>
      <c r="K983" s="2"/>
      <c r="L983" s="2"/>
      <c r="M983" s="2"/>
      <c r="N983" s="2"/>
      <c r="O983" s="2"/>
      <c r="P983" s="2"/>
      <c r="Q983" s="2"/>
      <c r="R983" s="2"/>
      <c r="S983" s="2"/>
      <c r="T983" s="2"/>
      <c r="U983" s="2"/>
      <c r="V983" s="22"/>
    </row>
    <row r="984" spans="4:22" ht="13.2" x14ac:dyDescent="0.25">
      <c r="D984" s="2"/>
      <c r="E984" s="2"/>
      <c r="F984" s="2"/>
      <c r="G984" s="2"/>
      <c r="H984" s="2"/>
      <c r="I984" s="2"/>
      <c r="J984" s="2"/>
      <c r="K984" s="2"/>
      <c r="L984" s="2"/>
      <c r="M984" s="2"/>
      <c r="N984" s="2"/>
      <c r="O984" s="2"/>
      <c r="P984" s="2"/>
      <c r="Q984" s="2"/>
      <c r="R984" s="2"/>
      <c r="S984" s="2"/>
      <c r="T984" s="2"/>
      <c r="U984" s="2"/>
      <c r="V984" s="22"/>
    </row>
    <row r="985" spans="4:22" ht="13.2" x14ac:dyDescent="0.25">
      <c r="D985" s="2"/>
      <c r="E985" s="2"/>
      <c r="F985" s="2"/>
      <c r="G985" s="2"/>
      <c r="H985" s="2"/>
      <c r="I985" s="2"/>
      <c r="J985" s="2"/>
      <c r="K985" s="2"/>
      <c r="L985" s="2"/>
      <c r="M985" s="2"/>
      <c r="N985" s="2"/>
      <c r="O985" s="2"/>
      <c r="P985" s="2"/>
      <c r="Q985" s="2"/>
      <c r="R985" s="2"/>
      <c r="S985" s="2"/>
      <c r="T985" s="2"/>
      <c r="U985" s="2"/>
      <c r="V985" s="22"/>
    </row>
    <row r="986" spans="4:22" ht="13.2" x14ac:dyDescent="0.25">
      <c r="D986" s="2"/>
      <c r="E986" s="2"/>
      <c r="F986" s="2"/>
      <c r="G986" s="2"/>
      <c r="H986" s="2"/>
      <c r="I986" s="2"/>
      <c r="J986" s="2"/>
      <c r="K986" s="2"/>
      <c r="L986" s="2"/>
      <c r="M986" s="2"/>
      <c r="N986" s="2"/>
      <c r="O986" s="2"/>
      <c r="P986" s="2"/>
      <c r="Q986" s="2"/>
      <c r="R986" s="2"/>
      <c r="S986" s="2"/>
      <c r="T986" s="2"/>
      <c r="U986" s="2"/>
      <c r="V986" s="22"/>
    </row>
    <row r="987" spans="4:22" ht="13.2" x14ac:dyDescent="0.25">
      <c r="D987" s="2"/>
      <c r="E987" s="2"/>
      <c r="F987" s="2"/>
      <c r="G987" s="2"/>
      <c r="H987" s="2"/>
      <c r="I987" s="2"/>
      <c r="J987" s="2"/>
      <c r="K987" s="2"/>
      <c r="L987" s="2"/>
      <c r="M987" s="2"/>
      <c r="N987" s="2"/>
      <c r="O987" s="2"/>
      <c r="P987" s="2"/>
      <c r="Q987" s="2"/>
      <c r="R987" s="2"/>
      <c r="S987" s="2"/>
      <c r="T987" s="2"/>
      <c r="U987" s="2"/>
      <c r="V987" s="22"/>
    </row>
    <row r="988" spans="4:22" ht="13.2" x14ac:dyDescent="0.25">
      <c r="D988" s="2"/>
      <c r="E988" s="2"/>
      <c r="F988" s="2"/>
      <c r="G988" s="2"/>
      <c r="H988" s="2"/>
      <c r="I988" s="2"/>
      <c r="J988" s="2"/>
      <c r="K988" s="2"/>
      <c r="L988" s="2"/>
      <c r="M988" s="2"/>
      <c r="N988" s="2"/>
      <c r="O988" s="2"/>
      <c r="P988" s="2"/>
      <c r="Q988" s="2"/>
      <c r="R988" s="2"/>
      <c r="S988" s="2"/>
      <c r="T988" s="2"/>
      <c r="U988" s="2"/>
      <c r="V988" s="22"/>
    </row>
    <row r="989" spans="4:22" ht="13.2" x14ac:dyDescent="0.25">
      <c r="D989" s="2"/>
      <c r="E989" s="2"/>
      <c r="F989" s="2"/>
      <c r="G989" s="2"/>
      <c r="H989" s="2"/>
      <c r="I989" s="2"/>
      <c r="J989" s="2"/>
      <c r="K989" s="2"/>
      <c r="L989" s="2"/>
      <c r="M989" s="2"/>
      <c r="N989" s="2"/>
      <c r="O989" s="2"/>
      <c r="P989" s="2"/>
      <c r="Q989" s="2"/>
      <c r="R989" s="2"/>
      <c r="S989" s="2"/>
      <c r="T989" s="2"/>
      <c r="U989" s="2"/>
      <c r="V989" s="22"/>
    </row>
    <row r="990" spans="4:22" ht="13.2" x14ac:dyDescent="0.25">
      <c r="D990" s="2"/>
      <c r="E990" s="2"/>
      <c r="F990" s="2"/>
      <c r="G990" s="2"/>
      <c r="H990" s="2"/>
      <c r="I990" s="2"/>
      <c r="J990" s="2"/>
      <c r="K990" s="2"/>
      <c r="L990" s="2"/>
      <c r="M990" s="2"/>
      <c r="N990" s="2"/>
      <c r="O990" s="2"/>
      <c r="P990" s="2"/>
      <c r="Q990" s="2"/>
      <c r="R990" s="2"/>
      <c r="S990" s="2"/>
      <c r="T990" s="2"/>
      <c r="U990" s="2"/>
      <c r="V990" s="22"/>
    </row>
    <row r="991" spans="4:22" ht="13.2" x14ac:dyDescent="0.25">
      <c r="D991" s="2"/>
      <c r="E991" s="2"/>
      <c r="F991" s="2"/>
      <c r="G991" s="2"/>
      <c r="H991" s="2"/>
      <c r="I991" s="2"/>
      <c r="J991" s="2"/>
      <c r="K991" s="2"/>
      <c r="L991" s="2"/>
      <c r="M991" s="2"/>
      <c r="N991" s="2"/>
      <c r="O991" s="2"/>
      <c r="P991" s="2"/>
      <c r="Q991" s="2"/>
      <c r="R991" s="2"/>
      <c r="S991" s="2"/>
      <c r="T991" s="2"/>
      <c r="U991" s="2"/>
      <c r="V991" s="22"/>
    </row>
    <row r="992" spans="4:22" ht="13.2" x14ac:dyDescent="0.25">
      <c r="D992" s="2"/>
      <c r="E992" s="2"/>
      <c r="F992" s="2"/>
      <c r="G992" s="2"/>
      <c r="H992" s="2"/>
      <c r="I992" s="2"/>
      <c r="J992" s="2"/>
      <c r="K992" s="2"/>
      <c r="L992" s="2"/>
      <c r="M992" s="2"/>
      <c r="N992" s="2"/>
      <c r="O992" s="2"/>
      <c r="P992" s="2"/>
      <c r="Q992" s="2"/>
      <c r="R992" s="2"/>
      <c r="S992" s="2"/>
      <c r="T992" s="2"/>
      <c r="U992" s="2"/>
      <c r="V992" s="22"/>
    </row>
    <row r="993" spans="4:22" ht="13.2" x14ac:dyDescent="0.25">
      <c r="D993" s="2"/>
      <c r="E993" s="2"/>
      <c r="F993" s="2"/>
      <c r="G993" s="2"/>
      <c r="H993" s="2"/>
      <c r="I993" s="2"/>
      <c r="J993" s="2"/>
      <c r="K993" s="2"/>
      <c r="L993" s="2"/>
      <c r="M993" s="2"/>
      <c r="N993" s="2"/>
      <c r="O993" s="2"/>
      <c r="P993" s="2"/>
      <c r="Q993" s="2"/>
      <c r="R993" s="2"/>
      <c r="S993" s="2"/>
      <c r="T993" s="2"/>
      <c r="U993" s="2"/>
      <c r="V993" s="22"/>
    </row>
    <row r="994" spans="4:22" ht="13.2" x14ac:dyDescent="0.25">
      <c r="D994" s="2"/>
      <c r="E994" s="2"/>
      <c r="F994" s="2"/>
      <c r="G994" s="2"/>
      <c r="H994" s="2"/>
      <c r="I994" s="2"/>
      <c r="J994" s="2"/>
      <c r="K994" s="2"/>
      <c r="L994" s="2"/>
      <c r="M994" s="2"/>
      <c r="N994" s="2"/>
      <c r="O994" s="2"/>
      <c r="P994" s="2"/>
      <c r="Q994" s="2"/>
      <c r="R994" s="2"/>
      <c r="S994" s="2"/>
      <c r="T994" s="2"/>
      <c r="U994" s="2"/>
      <c r="V994" s="22"/>
    </row>
    <row r="995" spans="4:22" ht="13.2" x14ac:dyDescent="0.25">
      <c r="D995" s="2"/>
      <c r="E995" s="2"/>
      <c r="F995" s="2"/>
      <c r="G995" s="2"/>
      <c r="H995" s="2"/>
      <c r="I995" s="2"/>
      <c r="J995" s="2"/>
      <c r="K995" s="2"/>
      <c r="L995" s="2"/>
      <c r="M995" s="2"/>
      <c r="N995" s="2"/>
      <c r="O995" s="2"/>
      <c r="P995" s="2"/>
      <c r="Q995" s="2"/>
      <c r="R995" s="2"/>
      <c r="S995" s="2"/>
      <c r="T995" s="2"/>
      <c r="U995" s="2"/>
      <c r="V995" s="22"/>
    </row>
    <row r="996" spans="4:22" ht="13.2" x14ac:dyDescent="0.25">
      <c r="D996" s="2"/>
      <c r="E996" s="2"/>
      <c r="F996" s="2"/>
      <c r="G996" s="2"/>
      <c r="H996" s="2"/>
      <c r="I996" s="2"/>
      <c r="J996" s="2"/>
      <c r="K996" s="2"/>
      <c r="L996" s="2"/>
      <c r="M996" s="2"/>
      <c r="N996" s="2"/>
      <c r="O996" s="2"/>
      <c r="P996" s="2"/>
      <c r="Q996" s="2"/>
      <c r="R996" s="2"/>
      <c r="S996" s="2"/>
      <c r="T996" s="2"/>
      <c r="U996" s="2"/>
      <c r="V996" s="22"/>
    </row>
    <row r="997" spans="4:22" ht="13.2" x14ac:dyDescent="0.25">
      <c r="D997" s="2"/>
      <c r="E997" s="2"/>
      <c r="F997" s="2"/>
      <c r="G997" s="2"/>
      <c r="H997" s="2"/>
      <c r="I997" s="2"/>
      <c r="J997" s="2"/>
      <c r="K997" s="2"/>
      <c r="L997" s="2"/>
      <c r="M997" s="2"/>
      <c r="N997" s="2"/>
      <c r="O997" s="2"/>
      <c r="P997" s="2"/>
      <c r="Q997" s="2"/>
      <c r="R997" s="2"/>
      <c r="S997" s="2"/>
      <c r="T997" s="2"/>
      <c r="U997" s="2"/>
      <c r="V997" s="22"/>
    </row>
    <row r="998" spans="4:22" ht="13.2" x14ac:dyDescent="0.25">
      <c r="D998" s="2"/>
      <c r="E998" s="2"/>
      <c r="F998" s="2"/>
      <c r="G998" s="2"/>
      <c r="H998" s="2"/>
      <c r="I998" s="2"/>
      <c r="J998" s="2"/>
      <c r="K998" s="2"/>
      <c r="L998" s="2"/>
      <c r="M998" s="2"/>
      <c r="N998" s="2"/>
      <c r="O998" s="2"/>
      <c r="P998" s="2"/>
      <c r="Q998" s="2"/>
      <c r="R998" s="2"/>
      <c r="S998" s="2"/>
      <c r="T998" s="2"/>
      <c r="U998" s="2"/>
      <c r="V998" s="22"/>
    </row>
    <row r="999" spans="4:22" ht="13.2" x14ac:dyDescent="0.25">
      <c r="D999" s="2"/>
      <c r="E999" s="2"/>
      <c r="F999" s="2"/>
      <c r="G999" s="2"/>
      <c r="H999" s="2"/>
      <c r="I999" s="2"/>
      <c r="J999" s="2"/>
      <c r="K999" s="2"/>
      <c r="L999" s="2"/>
      <c r="M999" s="2"/>
      <c r="N999" s="2"/>
      <c r="O999" s="2"/>
      <c r="P999" s="2"/>
      <c r="Q999" s="2"/>
      <c r="R999" s="2"/>
      <c r="S999" s="2"/>
      <c r="T999" s="2"/>
      <c r="U999" s="2"/>
      <c r="V999" s="22"/>
    </row>
  </sheetData>
  <mergeCells count="53">
    <mergeCell ref="D2:U2"/>
    <mergeCell ref="B4:B8"/>
    <mergeCell ref="B9:B13"/>
    <mergeCell ref="B14:B18"/>
    <mergeCell ref="B19:B23"/>
    <mergeCell ref="B24:B28"/>
    <mergeCell ref="B29:B33"/>
    <mergeCell ref="B34:B38"/>
    <mergeCell ref="B39:B43"/>
    <mergeCell ref="B44:B48"/>
    <mergeCell ref="B49:B53"/>
    <mergeCell ref="B54:B58"/>
    <mergeCell ref="B59:B63"/>
    <mergeCell ref="B64:B68"/>
    <mergeCell ref="B104:B108"/>
    <mergeCell ref="B69:B73"/>
    <mergeCell ref="B74:B78"/>
    <mergeCell ref="B79:B83"/>
    <mergeCell ref="B84:B88"/>
    <mergeCell ref="B89:B93"/>
    <mergeCell ref="B94:B98"/>
    <mergeCell ref="B99:B103"/>
    <mergeCell ref="B109:B113"/>
    <mergeCell ref="B114:B118"/>
    <mergeCell ref="B119:B123"/>
    <mergeCell ref="B124:B128"/>
    <mergeCell ref="B129:B133"/>
    <mergeCell ref="X4:X8"/>
    <mergeCell ref="X9:X13"/>
    <mergeCell ref="X14:X18"/>
    <mergeCell ref="X19:X23"/>
    <mergeCell ref="X24:X28"/>
    <mergeCell ref="X29:X33"/>
    <mergeCell ref="X34:X38"/>
    <mergeCell ref="X39:X43"/>
    <mergeCell ref="X44:X48"/>
    <mergeCell ref="X49:X53"/>
    <mergeCell ref="X54:X58"/>
    <mergeCell ref="X59:X63"/>
    <mergeCell ref="X64:X68"/>
    <mergeCell ref="X69:X73"/>
    <mergeCell ref="X74:X78"/>
    <mergeCell ref="X79:X83"/>
    <mergeCell ref="X84:X88"/>
    <mergeCell ref="X89:X93"/>
    <mergeCell ref="X94:X98"/>
    <mergeCell ref="X99:X103"/>
    <mergeCell ref="X129:X133"/>
    <mergeCell ref="X104:X108"/>
    <mergeCell ref="X109:X113"/>
    <mergeCell ref="X114:X118"/>
    <mergeCell ref="X119:X123"/>
    <mergeCell ref="X124:X12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CSR (X)</vt:lpstr>
      <vt:lpstr>Y1</vt:lpstr>
      <vt:lpstr>Y2</vt:lpstr>
      <vt:lpstr>Ukuran perusahaan X2</vt:lpstr>
      <vt:lpstr>ROA X3</vt:lpstr>
      <vt:lpstr>Leverage X4</vt:lpstr>
      <vt:lpstr>Arus Kas X5</vt:lpstr>
      <vt:lpstr>RnD (Inter 1) Z1</vt:lpstr>
      <vt:lpstr>ICDI (Inter 2) Z2</vt:lpstr>
      <vt:lpstr>Sheet1</vt:lpstr>
      <vt:lpstr>REKAP</vt:lpstr>
      <vt:lpstr>GTI</vt:lpstr>
      <vt:lpstr>Sheet2</vt:lpstr>
      <vt:lpstr>Sheet4</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qanita marsha</cp:lastModifiedBy>
  <dcterms:created xsi:type="dcterms:W3CDTF">2024-06-12T03:20:28Z</dcterms:created>
  <dcterms:modified xsi:type="dcterms:W3CDTF">2024-06-24T10:01:05Z</dcterms:modified>
</cp:coreProperties>
</file>